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nancials Summary" sheetId="1" r:id="rId4"/>
    <sheet state="visible" name="Assumptions" sheetId="2" r:id="rId5"/>
    <sheet state="visible" name="Unit Economics" sheetId="3" r:id="rId6"/>
    <sheet state="visible" name="Year 1 Monthly P&amp;L" sheetId="4" r:id="rId7"/>
    <sheet state="visible" name="Annual Summary" sheetId="5" r:id="rId8"/>
    <sheet state="visible" name="Funding &amp; Valuation" sheetId="6" r:id="rId9"/>
    <sheet state="visible" name="Dividend &amp; Exit Summary" sheetId="7" r:id="rId10"/>
  </sheets>
  <definedNames/>
  <calcPr/>
</workbook>
</file>

<file path=xl/sharedStrings.xml><?xml version="1.0" encoding="utf-8"?>
<sst xmlns="http://schemas.openxmlformats.org/spreadsheetml/2006/main" count="277" uniqueCount="210">
  <si>
    <t>ValetStore — Financials Summary</t>
  </si>
  <si>
    <t>One-page rollup. Every figure below is a live formula pulling from the Assumptions, Unit Economics, Year 1 Monthly P&amp;L, Annual Summary, and Funding &amp; Valuation tabs.</t>
  </si>
  <si>
    <t>Deal Structure</t>
  </si>
  <si>
    <t>Pre-money valuation</t>
  </si>
  <si>
    <t>Investor equity stake</t>
  </si>
  <si>
    <t>Total investment</t>
  </si>
  <si>
    <t xml:space="preserve">  To outgoing owner</t>
  </si>
  <si>
    <t xml:space="preserve">  To ValetStore (working capital)</t>
  </si>
  <si>
    <t>5-Year Financial Projections</t>
  </si>
  <si>
    <t>Year 1</t>
  </si>
  <si>
    <t>Year 2</t>
  </si>
  <si>
    <t>Year 3</t>
  </si>
  <si>
    <t>Year 4</t>
  </si>
  <si>
    <t>Year 5</t>
  </si>
  <si>
    <t>Avg Occupied Positions</t>
  </si>
  <si>
    <t>Total Revenue</t>
  </si>
  <si>
    <t>Gross Profit</t>
  </si>
  <si>
    <t>Total Opex</t>
  </si>
  <si>
    <t>EBITDA</t>
  </si>
  <si>
    <t>EBITDA Margin</t>
  </si>
  <si>
    <t>Return Illustration</t>
  </si>
  <si>
    <t>Year 5 EBITDA</t>
  </si>
  <si>
    <t>Illustrative exit multiple</t>
  </si>
  <si>
    <t>Illustrative Year 5 enterprise value</t>
  </si>
  <si>
    <t>Investor's 49% share at exit (illustrative)</t>
  </si>
  <si>
    <t>Total Investor Return (Dividends + Exit)</t>
  </si>
  <si>
    <t>Total dividends received before Year 5 exit</t>
  </si>
  <si>
    <t>Investor's 49% share of Year 5 exit sale</t>
  </si>
  <si>
    <t>TOTAL: Dividends + Exit Proceeds</t>
  </si>
  <si>
    <t>Implied multiple on original investment</t>
  </si>
  <si>
    <t>ValetStore — Financial Model Assumptions (Investment Scenario)</t>
  </si>
  <si>
    <t>A. Deal Structure</t>
  </si>
  <si>
    <t>Pre-money valuation (SGD)</t>
  </si>
  <si>
    <t>Investor equity stake acquired</t>
  </si>
  <si>
    <t xml:space="preserve">  of which: paid to outgoing/existing owner (SGD)</t>
  </si>
  <si>
    <t xml:space="preserve">  of which: injected into ValetStore as working capital (SGD)</t>
  </si>
  <si>
    <t>B. Pallet Position Geometry</t>
  </si>
  <si>
    <t>Pallet footprint (m)</t>
  </si>
  <si>
    <t>1.0 x 1.2</t>
  </si>
  <si>
    <t>Pallet position height (m)</t>
  </si>
  <si>
    <t>Units per position — Document Box (verified grid-pack at revised dims)</t>
  </si>
  <si>
    <t>Units per position — Carton Small</t>
  </si>
  <si>
    <t>Units per position — Carton Medium</t>
  </si>
  <si>
    <t>Units per position — Carton Large</t>
  </si>
  <si>
    <t>Units per position — Pallet</t>
  </si>
  <si>
    <t>Positions per unit — Liftvan (inverse; occupies 2 positions)</t>
  </si>
  <si>
    <t>C. Storage Rate Card (monthly, per unit)</t>
  </si>
  <si>
    <t>Document Box</t>
  </si>
  <si>
    <t>Carton Small</t>
  </si>
  <si>
    <t>Carton Medium</t>
  </si>
  <si>
    <t>Carton Large</t>
  </si>
  <si>
    <t>Pallet</t>
  </si>
  <si>
    <t>Liftvan</t>
  </si>
  <si>
    <t>D. Handling Rate Card (one-off, 2-way per unit: intake+release)</t>
  </si>
  <si>
    <t>E. Transport &amp; Access Rate Card (Sell price to customer / Vendor cost to ValetStore)</t>
  </si>
  <si>
    <t>Sell (SGD)</t>
  </si>
  <si>
    <t>Vendor Cost (SGD)</t>
  </si>
  <si>
    <t>Packaging essentials delivery</t>
  </si>
  <si>
    <t>Pickup/delivery — van, per trip</t>
  </si>
  <si>
    <t>Pickup/delivery — 10ft box truck, per trip</t>
  </si>
  <si>
    <t>Pickup/delivery — 14ft box truck, per trip</t>
  </si>
  <si>
    <t>Pickup/delivery — 24ft box truck, per trip</t>
  </si>
  <si>
    <t>Stair carry, per level</t>
  </si>
  <si>
    <t>Long push/pull, per 50m</t>
  </si>
  <si>
    <t>Overtime surcharge, per hour</t>
  </si>
  <si>
    <t>Assumed weighted-average transport revenue per handling event (SGD) — blended estimate across trip types; refine once real job mix is known</t>
  </si>
  <si>
    <t>F. Packaging Essentials (Sell price from live CRM / Margin per unit / Implied vendor cost)</t>
  </si>
  <si>
    <t>Margin (SGD)</t>
  </si>
  <si>
    <t>Cost (SGD, = Sell-Margin)</t>
  </si>
  <si>
    <t>Document storage carton box</t>
  </si>
  <si>
    <t>Movers small carton box</t>
  </si>
  <si>
    <t>Movers medium carton box</t>
  </si>
  <si>
    <t>Movers large carton box</t>
  </si>
  <si>
    <t>Opp Brown Tape</t>
  </si>
  <si>
    <t>Masking Tape</t>
  </si>
  <si>
    <t>Bubble Wrap</t>
  </si>
  <si>
    <t>Newsprint paper (per 50 sheets)</t>
  </si>
  <si>
    <t>Stretch film roll</t>
  </si>
  <si>
    <t>Silica Gel (per 50 sachets)</t>
  </si>
  <si>
    <t>Movers manpower (per pax per 3-hour block; margin given per hour)</t>
  </si>
  <si>
    <t>Blended packaging essentials margin % of sell (used for revenue-driven COGS estimate)</t>
  </si>
  <si>
    <t>G. Warehouse Deal</t>
  </si>
  <si>
    <t>Fixed Block 1: size (sqft)</t>
  </si>
  <si>
    <t>Fixed Block 1: pallet positions</t>
  </si>
  <si>
    <t>Fixed Block 1: rent (SGD/month)</t>
  </si>
  <si>
    <t>Fixed Block 1: months to fill (ramp to 100% occupancy)</t>
  </si>
  <si>
    <t>Fixed Block 2: size (sqft) — same terms as Block 1</t>
  </si>
  <si>
    <t>Fixed Block 2: pallet positions</t>
  </si>
  <si>
    <t>Fixed Block 2: rent (SGD/month)</t>
  </si>
  <si>
    <t>Fixed Block 2: starts filling in month (after Block 1 substantially filled)</t>
  </si>
  <si>
    <t>Fixed Block 2: months to fill from its start</t>
  </si>
  <si>
    <t>Beyond both fixed blocks: variable vendor rate per pallet position per month (SGD) — no additional fixed space taken</t>
  </si>
  <si>
    <t>Variable capacity: handling cost per way (SGD) — intake and release each charged separately</t>
  </si>
  <si>
    <t>Year-on-year growth rate applied to storage volume from Year 2 onward (on the variable, per-pallet basis)</t>
  </si>
  <si>
    <t>H. Marketing Team</t>
  </si>
  <si>
    <t>Full-time Marketing Executive: basic salary (SGD/month)</t>
  </si>
  <si>
    <t>Full-time Marketing Executive: marketing/ad budget (SGD/month)</t>
  </si>
  <si>
    <t>Full-time Marketing Executive: commission rate on ALL revenue, recurring 12 months per customer cohort</t>
  </si>
  <si>
    <t>Freelance Marketing Specialist (corp sec &amp; clinic focus): basic salary — none, 100% commission-based</t>
  </si>
  <si>
    <t>Freelance Marketing Specialist: commission rate on her segment's revenue, recurring 12 months per cohort</t>
  </si>
  <si>
    <t>Assumed % of revenue attributable to the Freelancer's segment (corp sec + clinic) — a modeling assumption given the business doesn't track revenue by customer industry; revisit once real data exists</t>
  </si>
  <si>
    <t>I. Founder &amp; Operations Staff</t>
  </si>
  <si>
    <t>Operator (Ramanan) salary — permanent, all 5 years (SGD/month)</t>
  </si>
  <si>
    <t>Operations Executive (India), engaged from Year 2 onward (SGD/month)</t>
  </si>
  <si>
    <t>J. [REMOVED — superseded by Section Q below, which holds the active 75% Document Storage mix]</t>
  </si>
  <si>
    <t>K. Handling Frequency &amp; Other Opex</t>
  </si>
  <si>
    <t>Monthly turnover rate (% of occupied positions re-handled per month, e.g., partial retrievals)</t>
  </si>
  <si>
    <t>Payment processing fee (% of revenue)</t>
  </si>
  <si>
    <t>Insurance (SGD/month)</t>
  </si>
  <si>
    <t>Admin/misc buffer (% of revenue)</t>
  </si>
  <si>
    <t>Label printing (SGD/month)</t>
  </si>
  <si>
    <t>L. Notes on Sunk/Pre-Paid Costs (already covered, not modeled as new capex)</t>
  </si>
  <si>
    <t>Website and CRM: fully built and paid. Email, domain, SSL, hosting: paid for 1 year. Company incorporated, logo/tagline designed, bank account with PayNow live. These do not appear as opex in this model since they are already settled.</t>
  </si>
  <si>
    <t>M. Block Fill Ramp (% occupied, by month since that block started taking intake)</t>
  </si>
  <si>
    <t>Fill ramp %, months 1-6 of a block's own timeline</t>
  </si>
  <si>
    <t>N. Packaging Essentials Attach Rate</t>
  </si>
  <si>
    <t>% of handling events where the customer also orders packaging essentials</t>
  </si>
  <si>
    <t>Average packaging essentials order value (SGD), when ordered</t>
  </si>
  <si>
    <t>O. Revised Billing Basis (Conservative Case)</t>
  </si>
  <si>
    <t>All storage revenue modeled on the 1-year billing plan, at a 20% discount off the monthly rate card — the conservative base case</t>
  </si>
  <si>
    <t>P. Operator Compensation (Permanent, All 5 Years)</t>
  </si>
  <si>
    <t>Operator transport allowance — permanent, all 5 years (SGD/month). Operator personally performs all packaging essentials deliveries using his own transport throughout.</t>
  </si>
  <si>
    <t>Q. Revised Customer Mix (75% Document Storage focus)</t>
  </si>
  <si>
    <t>Check total (should be 100%)</t>
  </si>
  <si>
    <t>R. Outsourced Accounting</t>
  </si>
  <si>
    <t>Outsourced accounting fee (SGD/month)</t>
  </si>
  <si>
    <t>ValetStore — Unit Economics</t>
  </si>
  <si>
    <t>Unit Type</t>
  </si>
  <si>
    <t>Units/Position</t>
  </si>
  <si>
    <t>Monthly Price</t>
  </si>
  <si>
    <t>Storage Rev/Position</t>
  </si>
  <si>
    <t>Handling Fee</t>
  </si>
  <si>
    <t>Handling Rev/Event</t>
  </si>
  <si>
    <t>Customer Mix (Revised — 75% Document Storage)</t>
  </si>
  <si>
    <t>Total</t>
  </si>
  <si>
    <t>Blended storage revenue per occupied position (SGD/month, after 20% annual-plan discount)</t>
  </si>
  <si>
    <t>Blended handling revenue per handling event (SGD)</t>
  </si>
  <si>
    <t>ValetStore — Year 1 Monthly P&amp;L</t>
  </si>
  <si>
    <t>SGD</t>
  </si>
  <si>
    <t>Month</t>
  </si>
  <si>
    <t>Year 1 Total</t>
  </si>
  <si>
    <t>Block 1 Occupied Positions</t>
  </si>
  <si>
    <t>Block 2 Occupied Positions</t>
  </si>
  <si>
    <t>Total Occupied Positions</t>
  </si>
  <si>
    <t>New Positions Filled (this month)</t>
  </si>
  <si>
    <t>Turnover Positions (re-handled)</t>
  </si>
  <si>
    <t>Total Handling Events</t>
  </si>
  <si>
    <t>Storage Revenue</t>
  </si>
  <si>
    <t>Handling Revenue</t>
  </si>
  <si>
    <t>Transport Revenue</t>
  </si>
  <si>
    <t>Packaging Essentials Revenue</t>
  </si>
  <si>
    <t>Packaging Essentials Delivery Revenue</t>
  </si>
  <si>
    <t>COGS – Warehouse Handling</t>
  </si>
  <si>
    <t>COGS – Variable Storage (beyond 272 fixed)</t>
  </si>
  <si>
    <t>COGS – Transport</t>
  </si>
  <si>
    <t>COGS – Packaging</t>
  </si>
  <si>
    <t>COGS – Packaging Essentials Delivery</t>
  </si>
  <si>
    <t>Total COGS</t>
  </si>
  <si>
    <t>Gross Margin %</t>
  </si>
  <si>
    <t>Opex – Rent (Block 1 + Block 2)</t>
  </si>
  <si>
    <t>Opex – Founder</t>
  </si>
  <si>
    <t>Opex – Operator Transport Allowance</t>
  </si>
  <si>
    <t>Opex – Marketing</t>
  </si>
  <si>
    <t>Opex – Ops Exec (India)</t>
  </si>
  <si>
    <t>Opex – Insurance</t>
  </si>
  <si>
    <t>Opex – Label Printing</t>
  </si>
  <si>
    <t>Opex – Outsourced Accounting</t>
  </si>
  <si>
    <t>Opex – Payment Processing</t>
  </si>
  <si>
    <t>Opex – Admin/Misc</t>
  </si>
  <si>
    <t>EBITDA Margin %</t>
  </si>
  <si>
    <t>Cumulative EBITDA</t>
  </si>
  <si>
    <t>ValetStore — 5-Year Annual Summary</t>
  </si>
  <si>
    <t>Year 1 pulls from the monthly build. Years 2-5 grow storage volume 30% YoY on the variable per-pallet basis — no additional fixed-block rent, per the stated growth plan.</t>
  </si>
  <si>
    <t>COGS – Variable Storage</t>
  </si>
  <si>
    <t>Opex – Rent (fixed blocks)</t>
  </si>
  <si>
    <t>ValetStore — Funding &amp; Valuation Summary</t>
  </si>
  <si>
    <t>Total investment (SGD)</t>
  </si>
  <si>
    <t xml:space="preserve">  Paid to outgoing/existing owner (SGD)</t>
  </si>
  <si>
    <t xml:space="preserve">  Injected as working capital (SGD)</t>
  </si>
  <si>
    <t>Return Illustration (based on this model's own 5-year projections)</t>
  </si>
  <si>
    <t>Year 5 EBITDA (SGD)</t>
  </si>
  <si>
    <t>Illustrative exit multiple (EBITDA x)</t>
  </si>
  <si>
    <t>Illustrative Year 5 enterprise value (SGD)</t>
  </si>
  <si>
    <t>Investor's 49% share of illustrative Year 5 value (SGD)</t>
  </si>
  <si>
    <t>Implied multiple on the SGD 73,500 investment</t>
  </si>
  <si>
    <t>*This return illustration uses this model's own Year 5 projection and an assumed exit multiple — it is not a promise or guarantee of any outcome, and depends entirely on the business executing the plan.*</t>
  </si>
  <si>
    <t>ValetStore — Dividend &amp; Exit Return Summary</t>
  </si>
  <si>
    <t>Assumed policy: no dividend in H1 Year 1 (EBITDA negative during ramp-up); 100% of EBITDA distributed as dividends every 6 months from H2 Year 1 onward. Years 2-5 EBITDA is split evenly across each year's two halves — a simplifying assumption, since the model only computes full-year figures for Years 2-5.</t>
  </si>
  <si>
    <t>Dividend payout ratio (% of EBITDA distributed each period)</t>
  </si>
  <si>
    <t>Exit EBITDA multiple (Year 5)</t>
  </si>
  <si>
    <t>Period</t>
  </si>
  <si>
    <t>H2 Y1</t>
  </si>
  <si>
    <t>H1 Y2</t>
  </si>
  <si>
    <t>H2 Y2</t>
  </si>
  <si>
    <t>H1 Y3</t>
  </si>
  <si>
    <t>H2 Y3</t>
  </si>
  <si>
    <t>H1 Y4</t>
  </si>
  <si>
    <t>H2 Y4</t>
  </si>
  <si>
    <t>H1 Y5</t>
  </si>
  <si>
    <t>H2 Y5</t>
  </si>
  <si>
    <t>Period EBITDA (SGD)</t>
  </si>
  <si>
    <t>Total Dividend Paid This Period (SGD)</t>
  </si>
  <si>
    <t>Investor's 49% Share of Dividend (SGD)</t>
  </si>
  <si>
    <t>Cumulative Investor Dividends Received (SGD)</t>
  </si>
  <si>
    <t>Summary: Total Investor Return</t>
  </si>
  <si>
    <t>Original investment (SGD)</t>
  </si>
  <si>
    <t>Total dividends received before Year 5 exit sale (SGD)</t>
  </si>
  <si>
    <t>Exit enterprise value (Year 5 EBITDA x multiple) (SGD)</t>
  </si>
  <si>
    <t>Investor's 49% share of exit sale (SGD)</t>
  </si>
  <si>
    <t>TOTAL: Dividends + Exit Sale Proceeds (SGD)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</si>
</sst>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\$#,##0;&quot;($&quot;#,##0\);\-"/>
    <numFmt numFmtId="165" formatCode="0.0%"/>
    <numFmt numFmtId="166" formatCode="#,##0.0"/>
    <numFmt numFmtId="167" formatCode="0.0\x"/>
    <numFmt numFmtId="168" formatCode="\$#,##0.00;&quot;($&quot;#,##0.00\);\-"/>
  </numFmts>
  <fonts count="11">
    <font>
      <sz val="11.0"/>
      <color/>
      <name val="Arial"/>
      <scheme val="minor"/>
    </font>
    <font>
      <b/>
      <sz val="16.0"/>
      <name val="Cambria"/>
    </font>
    <font>
      <sz val="11.0"/>
      <color/>
      <name val="Calibri"/>
    </font>
    <font>
      <i/>
      <sz val="9.0"/>
      <name val="Cambria"/>
    </font>
    <font>
      <b/>
      <sz val="12.0"/>
      <name val="Cambria"/>
    </font>
    <font>
      <b/>
      <sz val="11.0"/>
      <color rgb="FFFFFFFF"/>
      <name val="Cambria"/>
    </font>
    <font>
      <b/>
      <sz val="11.0"/>
      <name val="Cambria"/>
    </font>
    <font>
      <b/>
      <sz val="14.0"/>
      <name val="Cambria"/>
    </font>
    <font>
      <b/>
      <sz val="12.0"/>
      <color rgb="FF1F2937"/>
      <name val="Cambria"/>
    </font>
    <font>
      <sz val="11.0"/>
      <name val="Cambria"/>
    </font>
    <font>
      <sz val="11.0"/>
      <color rgb="FF0000FF"/>
      <name val="Cambria"/>
    </font>
  </fonts>
  <fills count="4">
    <fill>
      <patternFill patternType="none"/>
    </fill>
    <fill>
      <patternFill patternType="lightGray"/>
    </fill>
    <fill>
      <patternFill patternType="solid">
        <fgColor rgb="FF1F2937"/>
        <bgColor rgb="FF1F2937"/>
      </patternFill>
    </fill>
    <fill>
      <patternFill patternType="solid">
        <fgColor rgb="FFFFFF00"/>
        <bgColor rgb="FFFFFF00"/>
      </patternFill>
    </fill>
  </fills>
  <borders count="3">
    <border/>
    <border>
      <left/>
      <right/>
      <top/>
      <bottom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2" numFmtId="164" xfId="0" applyAlignment="1" applyFont="1" applyNumberFormat="1">
      <alignment shrinkToFit="0" vertical="bottom" wrapText="0"/>
    </xf>
    <xf borderId="0" fillId="0" fontId="2" numFmtId="165" xfId="0" applyAlignment="1" applyFont="1" applyNumberFormat="1">
      <alignment shrinkToFit="0" vertical="bottom" wrapText="0"/>
    </xf>
    <xf borderId="1" fillId="2" fontId="5" numFmtId="0" xfId="0" applyAlignment="1" applyBorder="1" applyFill="1" applyFont="1">
      <alignment horizontal="center" shrinkToFit="0" vertical="bottom" wrapText="0"/>
    </xf>
    <xf borderId="2" fillId="0" fontId="2" numFmtId="166" xfId="0" applyAlignment="1" applyBorder="1" applyFont="1" applyNumberFormat="1">
      <alignment shrinkToFit="0" vertical="bottom" wrapText="0"/>
    </xf>
    <xf borderId="0" fillId="0" fontId="6" numFmtId="0" xfId="0" applyAlignment="1" applyFont="1">
      <alignment shrinkToFit="0" vertical="bottom" wrapText="0"/>
    </xf>
    <xf borderId="2" fillId="0" fontId="2" numFmtId="164" xfId="0" applyAlignment="1" applyBorder="1" applyFont="1" applyNumberFormat="1">
      <alignment shrinkToFit="0" vertical="bottom" wrapText="0"/>
    </xf>
    <xf borderId="2" fillId="0" fontId="2" numFmtId="165" xfId="0" applyAlignment="1" applyBorder="1" applyFont="1" applyNumberFormat="1">
      <alignment shrinkToFit="0" vertical="bottom" wrapText="0"/>
    </xf>
    <xf borderId="0" fillId="0" fontId="2" numFmtId="167" xfId="0" applyAlignment="1" applyFont="1" applyNumberFormat="1">
      <alignment shrinkToFit="0" vertical="bottom" wrapText="0"/>
    </xf>
    <xf borderId="0" fillId="0" fontId="6" numFmtId="164" xfId="0" applyAlignment="1" applyFont="1" applyNumberFormat="1">
      <alignment shrinkToFit="0" vertical="bottom" wrapText="0"/>
    </xf>
    <xf borderId="0" fillId="0" fontId="7" numFmtId="0" xfId="0" applyAlignment="1" applyFont="1">
      <alignment shrinkToFit="0" vertical="bottom" wrapText="0"/>
    </xf>
    <xf borderId="0" fillId="0" fontId="8" numFmtId="0" xfId="0" applyAlignment="1" applyFont="1">
      <alignment shrinkToFit="0" vertical="bottom" wrapText="0"/>
    </xf>
    <xf borderId="0" fillId="0" fontId="9" numFmtId="0" xfId="0" applyAlignment="1" applyFont="1">
      <alignment shrinkToFit="0" vertical="bottom" wrapText="0"/>
    </xf>
    <xf borderId="1" fillId="3" fontId="10" numFmtId="164" xfId="0" applyAlignment="1" applyBorder="1" applyFill="1" applyFont="1" applyNumberFormat="1">
      <alignment shrinkToFit="0" vertical="bottom" wrapText="0"/>
    </xf>
    <xf borderId="1" fillId="3" fontId="10" numFmtId="165" xfId="0" applyAlignment="1" applyBorder="1" applyFont="1" applyNumberFormat="1">
      <alignment shrinkToFit="0" vertical="bottom" wrapText="0"/>
    </xf>
    <xf borderId="1" fillId="3" fontId="10" numFmtId="0" xfId="0" applyAlignment="1" applyBorder="1" applyFont="1">
      <alignment shrinkToFit="0" vertical="bottom" wrapText="0"/>
    </xf>
    <xf borderId="1" fillId="3" fontId="10" numFmtId="2" xfId="0" applyAlignment="1" applyBorder="1" applyFont="1" applyNumberFormat="1">
      <alignment shrinkToFit="0" vertical="bottom" wrapText="0"/>
    </xf>
    <xf borderId="1" fillId="3" fontId="10" numFmtId="1" xfId="0" applyAlignment="1" applyBorder="1" applyFont="1" applyNumberFormat="1">
      <alignment shrinkToFit="0" vertical="bottom" wrapText="0"/>
    </xf>
    <xf borderId="1" fillId="3" fontId="10" numFmtId="168" xfId="0" applyAlignment="1" applyBorder="1" applyFont="1" applyNumberFormat="1">
      <alignment shrinkToFit="0" vertical="bottom" wrapText="0"/>
    </xf>
    <xf borderId="0" fillId="0" fontId="2" numFmtId="168" xfId="0" applyAlignment="1" applyFont="1" applyNumberFormat="1">
      <alignment shrinkToFit="0" vertical="bottom" wrapText="0"/>
    </xf>
    <xf borderId="1" fillId="3" fontId="10" numFmtId="9" xfId="0" applyAlignment="1" applyBorder="1" applyFont="1" applyNumberFormat="1">
      <alignment shrinkToFit="0" vertical="bottom" wrapText="0"/>
    </xf>
    <xf borderId="1" fillId="2" fontId="5" numFmtId="0" xfId="0" applyAlignment="1" applyBorder="1" applyFont="1">
      <alignment shrinkToFit="0" vertical="bottom" wrapText="0"/>
    </xf>
    <xf borderId="2" fillId="0" fontId="2" numFmtId="0" xfId="0" applyAlignment="1" applyBorder="1" applyFont="1">
      <alignment shrinkToFit="0" vertical="bottom" wrapText="0"/>
    </xf>
    <xf borderId="2" fillId="0" fontId="2" numFmtId="1" xfId="0" applyAlignment="1" applyBorder="1" applyFont="1" applyNumberFormat="1">
      <alignment shrinkToFit="0" vertical="bottom" wrapText="0"/>
    </xf>
    <xf borderId="2" fillId="0" fontId="2" numFmtId="168" xfId="0" applyAlignment="1" applyBorder="1" applyFont="1" applyNumberFormat="1">
      <alignment shrinkToFit="0" vertical="bottom" wrapText="0"/>
    </xf>
    <xf borderId="0" fillId="0" fontId="2" numFmtId="1" xfId="0" applyAlignment="1" applyFont="1" applyNumberFormat="1">
      <alignment shrinkToFit="0" vertical="bottom" wrapText="0"/>
    </xf>
    <xf borderId="0" fillId="0" fontId="2" numFmtId="166" xfId="0" applyAlignment="1" applyFont="1" applyNumberFormat="1">
      <alignment shrinkToFit="0" vertical="bottom" wrapText="0"/>
    </xf>
    <xf borderId="1" fillId="3" fontId="10" numFmtId="167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b="0" l="0" r="0" t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b="0" l="0" r="0" t="0"/>
        </a:gradFill>
      </a:fillStyleLst>
      <a:lnStyleLst>
        <a:ln cap="flat" cmpd="sng" w="9525" algn="ctr">
          <a:prstDash val="solid"/>
        </a:ln>
        <a:ln cap="flat" cmpd="sng" w="25400" algn="ctr">
          <a:prstDash val="solid"/>
        </a:ln>
        <a:ln cap="flat" cmpd="sng" w="38100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b="180000" l="50000" r="50000" t="-80000"/>
          </a:path>
          <a:tileRect b="0" l="0" r="0" t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b="50000" l="50000" r="50000" t="50000"/>
          </a:path>
          <a:tileRect b="0" l="0" r="0" t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0.0"/>
    <col customWidth="1" min="2" max="6" width="14.0"/>
    <col customWidth="1" min="7" max="11" width="8.71"/>
  </cols>
  <sheetData>
    <row r="1" ht="19.5" customHeight="1">
      <c r="A1" s="1" t="s">
        <v>0</v>
      </c>
      <c r="B1" s="2"/>
      <c r="C1" s="2"/>
      <c r="D1" s="2"/>
      <c r="E1" s="2"/>
      <c r="F1" s="2"/>
    </row>
    <row r="2" ht="15.0" customHeight="1">
      <c r="A2" s="3" t="s">
        <v>1</v>
      </c>
      <c r="B2" s="2"/>
      <c r="C2" s="2"/>
      <c r="D2" s="2"/>
      <c r="E2" s="2"/>
      <c r="F2" s="2"/>
    </row>
    <row r="3">
      <c r="A3" s="2"/>
      <c r="B3" s="2"/>
      <c r="C3" s="2"/>
      <c r="D3" s="2"/>
      <c r="E3" s="2"/>
      <c r="F3" s="2"/>
    </row>
    <row r="4" ht="15.0" customHeight="1">
      <c r="A4" s="4" t="s">
        <v>2</v>
      </c>
      <c r="B4" s="2"/>
      <c r="C4" s="2"/>
      <c r="D4" s="2"/>
      <c r="E4" s="2"/>
      <c r="F4" s="2"/>
    </row>
    <row r="5" ht="15.0" customHeight="1">
      <c r="A5" s="2" t="s">
        <v>3</v>
      </c>
      <c r="B5" s="5" t="str">
        <f>'Funding &amp; Valuation'!B4</f>
        <v>$250,000</v>
      </c>
      <c r="C5" s="2"/>
      <c r="D5" s="2"/>
      <c r="E5" s="2"/>
      <c r="F5" s="2"/>
    </row>
    <row r="6" ht="15.0" customHeight="1">
      <c r="A6" s="2" t="s">
        <v>4</v>
      </c>
      <c r="B6" s="6" t="str">
        <f>'Funding &amp; Valuation'!B5</f>
        <v>49.0%</v>
      </c>
      <c r="C6" s="2"/>
      <c r="D6" s="2"/>
      <c r="E6" s="2"/>
      <c r="F6" s="2"/>
    </row>
    <row r="7" ht="15.0" customHeight="1">
      <c r="A7" s="2" t="s">
        <v>5</v>
      </c>
      <c r="B7" s="5" t="str">
        <f>'Funding &amp; Valuation'!B7</f>
        <v>$122,500</v>
      </c>
      <c r="C7" s="2"/>
      <c r="D7" s="2"/>
      <c r="E7" s="2"/>
      <c r="F7" s="2"/>
    </row>
    <row r="8" ht="15.0" customHeight="1">
      <c r="A8" s="2" t="s">
        <v>6</v>
      </c>
      <c r="B8" s="5" t="str">
        <f>'Funding &amp; Valuation'!B8</f>
        <v>$60,000</v>
      </c>
      <c r="C8" s="2"/>
      <c r="D8" s="2"/>
      <c r="E8" s="2"/>
      <c r="F8" s="2"/>
    </row>
    <row r="9" ht="15.0" customHeight="1">
      <c r="A9" s="2" t="s">
        <v>7</v>
      </c>
      <c r="B9" s="5" t="str">
        <f>'Funding &amp; Valuation'!B9</f>
        <v>$62,500</v>
      </c>
      <c r="C9" s="2"/>
      <c r="D9" s="2"/>
      <c r="E9" s="2"/>
      <c r="F9" s="2"/>
    </row>
    <row r="10">
      <c r="A10" s="2"/>
      <c r="B10" s="2"/>
      <c r="C10" s="2"/>
      <c r="D10" s="2"/>
      <c r="E10" s="2"/>
      <c r="F10" s="2"/>
    </row>
    <row r="11" ht="15.0" customHeight="1">
      <c r="A11" s="4" t="s">
        <v>8</v>
      </c>
      <c r="B11" s="2"/>
      <c r="C11" s="2"/>
      <c r="D11" s="2"/>
      <c r="E11" s="2"/>
      <c r="F11" s="2"/>
    </row>
    <row r="12" ht="15.0" customHeight="1">
      <c r="A12" s="2"/>
      <c r="B12" s="7" t="s">
        <v>9</v>
      </c>
      <c r="C12" s="7" t="s">
        <v>10</v>
      </c>
      <c r="D12" s="7" t="s">
        <v>11</v>
      </c>
      <c r="E12" s="7" t="s">
        <v>12</v>
      </c>
      <c r="F12" s="7" t="s">
        <v>13</v>
      </c>
    </row>
    <row r="13" ht="15.0" customHeight="1">
      <c r="A13" s="2" t="s">
        <v>14</v>
      </c>
      <c r="B13" s="8" t="str">
        <f>'Annual Summary'!B5</f>
        <v>147.3</v>
      </c>
      <c r="C13" s="8" t="str">
        <f>'Annual Summary'!C5</f>
        <v>191.5</v>
      </c>
      <c r="D13" s="8" t="str">
        <f>'Annual Summary'!D5</f>
        <v>249.0</v>
      </c>
      <c r="E13" s="8" t="str">
        <f>'Annual Summary'!E5</f>
        <v>323.7</v>
      </c>
      <c r="F13" s="8" t="str">
        <f>'Annual Summary'!F5</f>
        <v>420.8</v>
      </c>
    </row>
    <row r="14" ht="15.0" customHeight="1">
      <c r="A14" s="9" t="s">
        <v>15</v>
      </c>
      <c r="B14" s="10" t="str">
        <f>'Annual Summary'!B13</f>
        <v>$254,798</v>
      </c>
      <c r="C14" s="10" t="str">
        <f>'Annual Summary'!C13</f>
        <v>$228,416</v>
      </c>
      <c r="D14" s="10" t="str">
        <f>'Annual Summary'!D13</f>
        <v>$296,941</v>
      </c>
      <c r="E14" s="10" t="str">
        <f>'Annual Summary'!E13</f>
        <v>$386,024</v>
      </c>
      <c r="F14" s="10" t="str">
        <f>'Annual Summary'!F13</f>
        <v>$501,831</v>
      </c>
    </row>
    <row r="15" ht="15.0" customHeight="1">
      <c r="A15" s="2" t="s">
        <v>16</v>
      </c>
      <c r="B15" s="10" t="str">
        <f>'Annual Summary'!B21</f>
        <v>$201,733</v>
      </c>
      <c r="C15" s="10" t="str">
        <f>'Annual Summary'!C21</f>
        <v>$209,943</v>
      </c>
      <c r="D15" s="10" t="str">
        <f>'Annual Summary'!D21</f>
        <v>$272,926</v>
      </c>
      <c r="E15" s="10" t="str">
        <f>'Annual Summary'!E21</f>
        <v>$339,297</v>
      </c>
      <c r="F15" s="10" t="str">
        <f>'Annual Summary'!F21</f>
        <v>$416,606</v>
      </c>
    </row>
    <row r="16" ht="15.0" customHeight="1">
      <c r="A16" s="2" t="s">
        <v>17</v>
      </c>
      <c r="B16" s="10" t="str">
        <f>'Annual Summary'!B34</f>
        <v>$177,732</v>
      </c>
      <c r="C16" s="10" t="str">
        <f>'Annual Summary'!C34</f>
        <v>$202,357</v>
      </c>
      <c r="D16" s="10" t="str">
        <f>'Annual Summary'!D34</f>
        <v>$208,525</v>
      </c>
      <c r="E16" s="10" t="str">
        <f>'Annual Summary'!E34</f>
        <v>$216,542</v>
      </c>
      <c r="F16" s="10" t="str">
        <f>'Annual Summary'!F34</f>
        <v>$226,965</v>
      </c>
    </row>
    <row r="17" ht="15.0" customHeight="1">
      <c r="A17" s="9" t="s">
        <v>18</v>
      </c>
      <c r="B17" s="10" t="str">
        <f>'Annual Summary'!B35</f>
        <v>$24,001</v>
      </c>
      <c r="C17" s="10" t="str">
        <f>'Annual Summary'!C35</f>
        <v>$7,586</v>
      </c>
      <c r="D17" s="10" t="str">
        <f>'Annual Summary'!D35</f>
        <v>$64,402</v>
      </c>
      <c r="E17" s="10" t="str">
        <f>'Annual Summary'!E35</f>
        <v>$122,755</v>
      </c>
      <c r="F17" s="10" t="str">
        <f>'Annual Summary'!F35</f>
        <v>$189,641</v>
      </c>
    </row>
    <row r="18" ht="15.0" customHeight="1">
      <c r="A18" s="2" t="s">
        <v>19</v>
      </c>
      <c r="B18" s="11" t="str">
        <f>'Annual Summary'!B36</f>
        <v>9.4%</v>
      </c>
      <c r="C18" s="11" t="str">
        <f>'Annual Summary'!C36</f>
        <v>3.3%</v>
      </c>
      <c r="D18" s="11" t="str">
        <f>'Annual Summary'!D36</f>
        <v>21.7%</v>
      </c>
      <c r="E18" s="11" t="str">
        <f>'Annual Summary'!E36</f>
        <v>31.8%</v>
      </c>
      <c r="F18" s="11" t="str">
        <f>'Annual Summary'!F36</f>
        <v>37.8%</v>
      </c>
    </row>
    <row r="19">
      <c r="A19" s="2"/>
      <c r="B19" s="2"/>
      <c r="C19" s="2"/>
      <c r="D19" s="2"/>
      <c r="E19" s="2"/>
      <c r="F19" s="2"/>
    </row>
    <row r="20" ht="15.0" customHeight="1">
      <c r="A20" s="4" t="s">
        <v>20</v>
      </c>
      <c r="B20" s="2"/>
      <c r="C20" s="2"/>
      <c r="D20" s="2"/>
      <c r="E20" s="2"/>
      <c r="F20" s="2"/>
    </row>
    <row r="21" ht="15.0" customHeight="1">
      <c r="A21" s="2" t="s">
        <v>21</v>
      </c>
      <c r="B21" s="5" t="str">
        <f>'Funding &amp; Valuation'!B12</f>
        <v>$189,641</v>
      </c>
      <c r="C21" s="2"/>
      <c r="D21" s="2"/>
      <c r="E21" s="2"/>
      <c r="F21" s="2"/>
    </row>
    <row r="22" ht="15.0" customHeight="1">
      <c r="A22" s="2" t="s">
        <v>22</v>
      </c>
      <c r="B22" s="12" t="str">
        <f>'Funding &amp; Valuation'!B13</f>
        <v>6.0x</v>
      </c>
      <c r="C22" s="2"/>
      <c r="D22" s="2"/>
      <c r="E22" s="2"/>
      <c r="F22" s="2"/>
    </row>
    <row r="23" ht="15.0" customHeight="1">
      <c r="A23" s="2" t="s">
        <v>23</v>
      </c>
      <c r="B23" s="5" t="str">
        <f>'Funding &amp; Valuation'!B14</f>
        <v>$1,137,848</v>
      </c>
      <c r="C23" s="2"/>
      <c r="D23" s="2"/>
      <c r="E23" s="2"/>
      <c r="F23" s="2"/>
    </row>
    <row r="24" ht="15.0" customHeight="1">
      <c r="A24" s="2" t="s">
        <v>24</v>
      </c>
      <c r="B24" s="5" t="str">
        <f>'Funding &amp; Valuation'!B15</f>
        <v>$557,546</v>
      </c>
      <c r="C24" s="2"/>
      <c r="D24" s="2"/>
      <c r="E24" s="2"/>
      <c r="F24" s="2"/>
    </row>
    <row r="25" ht="15.75" customHeight="1">
      <c r="A25" s="2"/>
      <c r="B25" s="2"/>
      <c r="C25" s="2"/>
      <c r="D25" s="2"/>
      <c r="E25" s="2"/>
      <c r="F25" s="2"/>
    </row>
    <row r="26" ht="15.0" customHeight="1">
      <c r="A26" s="4" t="s">
        <v>25</v>
      </c>
      <c r="B26" s="2"/>
      <c r="C26" s="2"/>
      <c r="D26" s="2"/>
      <c r="E26" s="2"/>
      <c r="F26" s="2"/>
    </row>
    <row r="27" ht="15.0" customHeight="1">
      <c r="A27" s="2" t="s">
        <v>26</v>
      </c>
      <c r="B27" s="5" t="str">
        <f>'Dividend &amp; Exit Summary'!B16</f>
        <v>$205,757</v>
      </c>
      <c r="C27" s="2"/>
      <c r="D27" s="2"/>
      <c r="E27" s="2"/>
      <c r="F27" s="2"/>
    </row>
    <row r="28" ht="15.0" customHeight="1">
      <c r="A28" s="2" t="s">
        <v>27</v>
      </c>
      <c r="B28" s="5" t="str">
        <f>'Dividend &amp; Exit Summary'!B19</f>
        <v>$557,546</v>
      </c>
      <c r="C28" s="2"/>
      <c r="D28" s="2"/>
      <c r="E28" s="2"/>
      <c r="F28" s="2"/>
    </row>
    <row r="29" ht="15.0" customHeight="1">
      <c r="A29" s="9" t="s">
        <v>28</v>
      </c>
      <c r="B29" s="13" t="str">
        <f>'Dividend &amp; Exit Summary'!B20</f>
        <v>$763,302</v>
      </c>
      <c r="C29" s="2"/>
      <c r="D29" s="2"/>
      <c r="E29" s="2"/>
      <c r="F29" s="2"/>
    </row>
    <row r="30" ht="15.0" customHeight="1">
      <c r="A30" s="2" t="s">
        <v>29</v>
      </c>
      <c r="B30" s="12" t="str">
        <f>'Dividend &amp; Exit Summary'!B21</f>
        <v>6.2x</v>
      </c>
      <c r="C30" s="2"/>
      <c r="D30" s="2"/>
      <c r="E30" s="2"/>
      <c r="F30" s="2"/>
    </row>
    <row r="31" ht="15.75" customHeight="1">
      <c r="A31" s="2"/>
      <c r="B31" s="2"/>
      <c r="C31" s="2"/>
      <c r="D31" s="2"/>
      <c r="E31" s="2"/>
      <c r="F31" s="2"/>
    </row>
    <row r="32" ht="15.75" customHeight="1">
      <c r="A32" s="2"/>
      <c r="B32" s="2"/>
      <c r="C32" s="2"/>
      <c r="D32" s="2"/>
      <c r="E32" s="2"/>
      <c r="F32" s="2"/>
    </row>
    <row r="33" ht="15.75" customHeight="1">
      <c r="A33" s="2"/>
      <c r="B33" s="2"/>
      <c r="C33" s="2"/>
      <c r="D33" s="2"/>
      <c r="E33" s="2"/>
      <c r="F33" s="2"/>
    </row>
    <row r="34" ht="15.75" customHeight="1">
      <c r="A34" s="2"/>
      <c r="B34" s="2"/>
      <c r="C34" s="2"/>
      <c r="D34" s="2"/>
      <c r="E34" s="2"/>
      <c r="F34" s="2"/>
    </row>
    <row r="35" ht="15.75" customHeight="1">
      <c r="A35" s="2"/>
      <c r="B35" s="2"/>
      <c r="C35" s="2"/>
      <c r="D35" s="2"/>
      <c r="E35" s="2"/>
      <c r="F35" s="2"/>
    </row>
    <row r="36" ht="15.75" customHeight="1">
      <c r="A36" s="2"/>
      <c r="B36" s="2"/>
      <c r="C36" s="2"/>
      <c r="D36" s="2"/>
      <c r="E36" s="2"/>
      <c r="F36" s="2"/>
    </row>
    <row r="37" ht="15.75" customHeight="1">
      <c r="A37" s="2"/>
      <c r="B37" s="2"/>
      <c r="C37" s="2"/>
      <c r="D37" s="2"/>
      <c r="E37" s="2"/>
      <c r="F37" s="2"/>
    </row>
    <row r="38" ht="15.75" customHeight="1">
      <c r="A38" s="2"/>
      <c r="B38" s="2"/>
      <c r="C38" s="2"/>
      <c r="D38" s="2"/>
      <c r="E38" s="2"/>
      <c r="F38" s="2"/>
    </row>
    <row r="39" ht="15.75" customHeight="1">
      <c r="A39" s="2"/>
      <c r="B39" s="2"/>
      <c r="C39" s="2"/>
      <c r="D39" s="2"/>
      <c r="E39" s="2"/>
      <c r="F39" s="2"/>
    </row>
    <row r="40" ht="15.75" customHeight="1">
      <c r="A40" s="2"/>
      <c r="B40" s="2"/>
      <c r="C40" s="2"/>
      <c r="D40" s="2"/>
      <c r="E40" s="2"/>
      <c r="F40" s="2"/>
    </row>
    <row r="41" ht="15.75" customHeight="1">
      <c r="A41" s="2"/>
      <c r="B41" s="2"/>
      <c r="C41" s="2"/>
      <c r="D41" s="2"/>
      <c r="E41" s="2"/>
      <c r="F41" s="2"/>
    </row>
    <row r="42" ht="15.75" customHeight="1">
      <c r="A42" s="2"/>
      <c r="B42" s="2"/>
      <c r="C42" s="2"/>
      <c r="D42" s="2"/>
      <c r="E42" s="2"/>
      <c r="F42" s="2"/>
    </row>
    <row r="43" ht="15.75" customHeight="1">
      <c r="A43" s="2"/>
      <c r="B43" s="2"/>
      <c r="C43" s="2"/>
      <c r="D43" s="2"/>
      <c r="E43" s="2"/>
      <c r="F43" s="2"/>
    </row>
    <row r="44" ht="15.75" customHeight="1">
      <c r="A44" s="2"/>
      <c r="B44" s="2"/>
      <c r="C44" s="2"/>
      <c r="D44" s="2"/>
      <c r="E44" s="2"/>
      <c r="F44" s="2"/>
    </row>
    <row r="45" ht="15.75" customHeight="1">
      <c r="A45" s="2"/>
      <c r="B45" s="2"/>
      <c r="C45" s="2"/>
      <c r="D45" s="2"/>
      <c r="E45" s="2"/>
      <c r="F45" s="2"/>
    </row>
    <row r="46" ht="15.75" customHeight="1">
      <c r="A46" s="2"/>
      <c r="B46" s="2"/>
      <c r="C46" s="2"/>
      <c r="D46" s="2"/>
      <c r="E46" s="2"/>
      <c r="F46" s="2"/>
    </row>
    <row r="47" ht="15.75" customHeight="1">
      <c r="A47" s="2"/>
      <c r="B47" s="2"/>
      <c r="C47" s="2"/>
      <c r="D47" s="2"/>
      <c r="E47" s="2"/>
      <c r="F47" s="2"/>
    </row>
    <row r="48" ht="15.75" customHeight="1">
      <c r="A48" s="2"/>
      <c r="B48" s="2"/>
      <c r="C48" s="2"/>
      <c r="D48" s="2"/>
      <c r="E48" s="2"/>
      <c r="F48" s="2"/>
    </row>
    <row r="49" ht="15.75" customHeight="1">
      <c r="A49" s="2"/>
      <c r="B49" s="2"/>
      <c r="C49" s="2"/>
      <c r="D49" s="2"/>
      <c r="E49" s="2"/>
      <c r="F49" s="2"/>
    </row>
    <row r="50" ht="15.75" customHeight="1">
      <c r="A50" s="2"/>
      <c r="B50" s="2"/>
      <c r="C50" s="2"/>
      <c r="D50" s="2"/>
      <c r="E50" s="2"/>
      <c r="F50" s="2"/>
    </row>
    <row r="51" ht="15.75" customHeight="1">
      <c r="A51" s="2"/>
      <c r="B51" s="2"/>
      <c r="C51" s="2"/>
      <c r="D51" s="2"/>
      <c r="E51" s="2"/>
      <c r="F51" s="2"/>
    </row>
    <row r="52" ht="15.75" customHeight="1">
      <c r="A52" s="2"/>
      <c r="B52" s="2"/>
      <c r="C52" s="2"/>
      <c r="D52" s="2"/>
      <c r="E52" s="2"/>
      <c r="F52" s="2"/>
    </row>
    <row r="53" ht="15.75" customHeight="1">
      <c r="A53" s="2"/>
      <c r="B53" s="2"/>
      <c r="C53" s="2"/>
      <c r="D53" s="2"/>
      <c r="E53" s="2"/>
      <c r="F53" s="2"/>
    </row>
    <row r="54" ht="15.75" customHeight="1">
      <c r="A54" s="2"/>
      <c r="B54" s="2"/>
      <c r="C54" s="2"/>
      <c r="D54" s="2"/>
      <c r="E54" s="2"/>
      <c r="F54" s="2"/>
    </row>
    <row r="55" ht="15.75" customHeight="1">
      <c r="A55" s="2"/>
      <c r="B55" s="2"/>
      <c r="C55" s="2"/>
      <c r="D55" s="2"/>
      <c r="E55" s="2"/>
      <c r="F55" s="2"/>
    </row>
    <row r="56" ht="15.75" customHeight="1">
      <c r="A56" s="2"/>
      <c r="B56" s="2"/>
      <c r="C56" s="2"/>
      <c r="D56" s="2"/>
      <c r="E56" s="2"/>
      <c r="F56" s="2"/>
    </row>
    <row r="57" ht="15.75" customHeight="1">
      <c r="A57" s="2"/>
      <c r="B57" s="2"/>
      <c r="C57" s="2"/>
      <c r="D57" s="2"/>
      <c r="E57" s="2"/>
      <c r="F57" s="2"/>
    </row>
    <row r="58" ht="15.75" customHeight="1">
      <c r="A58" s="2"/>
      <c r="B58" s="2"/>
      <c r="C58" s="2"/>
      <c r="D58" s="2"/>
      <c r="E58" s="2"/>
      <c r="F58" s="2"/>
    </row>
    <row r="59" ht="15.75" customHeight="1">
      <c r="A59" s="2"/>
      <c r="B59" s="2"/>
      <c r="C59" s="2"/>
      <c r="D59" s="2"/>
      <c r="E59" s="2"/>
      <c r="F59" s="2"/>
    </row>
    <row r="60" ht="15.75" customHeight="1">
      <c r="A60" s="2"/>
      <c r="B60" s="2"/>
      <c r="C60" s="2"/>
      <c r="D60" s="2"/>
      <c r="E60" s="2"/>
      <c r="F60" s="2"/>
    </row>
    <row r="61" ht="15.75" customHeight="1">
      <c r="A61" s="2"/>
      <c r="B61" s="2"/>
      <c r="C61" s="2"/>
      <c r="D61" s="2"/>
      <c r="E61" s="2"/>
      <c r="F61" s="2"/>
    </row>
    <row r="62" ht="15.75" customHeight="1">
      <c r="A62" s="2"/>
      <c r="B62" s="2"/>
      <c r="C62" s="2"/>
      <c r="D62" s="2"/>
      <c r="E62" s="2"/>
      <c r="F62" s="2"/>
    </row>
    <row r="63" ht="15.75" customHeight="1">
      <c r="A63" s="2"/>
      <c r="B63" s="2"/>
      <c r="C63" s="2"/>
      <c r="D63" s="2"/>
      <c r="E63" s="2"/>
      <c r="F63" s="2"/>
    </row>
    <row r="64" ht="15.75" customHeight="1">
      <c r="A64" s="2"/>
      <c r="B64" s="2"/>
      <c r="C64" s="2"/>
      <c r="D64" s="2"/>
      <c r="E64" s="2"/>
      <c r="F64" s="2"/>
    </row>
    <row r="65" ht="15.75" customHeight="1">
      <c r="A65" s="2"/>
      <c r="B65" s="2"/>
      <c r="C65" s="2"/>
      <c r="D65" s="2"/>
      <c r="E65" s="2"/>
      <c r="F65" s="2"/>
    </row>
    <row r="66" ht="15.75" customHeight="1">
      <c r="A66" s="2"/>
      <c r="B66" s="2"/>
      <c r="C66" s="2"/>
      <c r="D66" s="2"/>
      <c r="E66" s="2"/>
      <c r="F66" s="2"/>
    </row>
    <row r="67" ht="15.75" customHeight="1">
      <c r="A67" s="2"/>
      <c r="B67" s="2"/>
      <c r="C67" s="2"/>
      <c r="D67" s="2"/>
      <c r="E67" s="2"/>
      <c r="F67" s="2"/>
    </row>
    <row r="68" ht="15.75" customHeight="1">
      <c r="A68" s="2"/>
      <c r="B68" s="2"/>
      <c r="C68" s="2"/>
      <c r="D68" s="2"/>
      <c r="E68" s="2"/>
      <c r="F68" s="2"/>
    </row>
    <row r="69" ht="15.75" customHeight="1">
      <c r="A69" s="2"/>
      <c r="B69" s="2"/>
      <c r="C69" s="2"/>
      <c r="D69" s="2"/>
      <c r="E69" s="2"/>
      <c r="F69" s="2"/>
    </row>
    <row r="70" ht="15.75" customHeight="1">
      <c r="A70" s="2"/>
      <c r="B70" s="2"/>
      <c r="C70" s="2"/>
      <c r="D70" s="2"/>
      <c r="E70" s="2"/>
      <c r="F70" s="2"/>
    </row>
    <row r="71" ht="15.75" customHeight="1">
      <c r="A71" s="2"/>
      <c r="B71" s="2"/>
      <c r="C71" s="2"/>
      <c r="D71" s="2"/>
      <c r="E71" s="2"/>
      <c r="F71" s="2"/>
    </row>
    <row r="72" ht="15.75" customHeight="1">
      <c r="A72" s="2"/>
      <c r="B72" s="2"/>
      <c r="C72" s="2"/>
      <c r="D72" s="2"/>
      <c r="E72" s="2"/>
      <c r="F72" s="2"/>
    </row>
    <row r="73" ht="15.75" customHeight="1">
      <c r="A73" s="2"/>
      <c r="B73" s="2"/>
      <c r="C73" s="2"/>
      <c r="D73" s="2"/>
      <c r="E73" s="2"/>
      <c r="F73" s="2"/>
    </row>
    <row r="74" ht="15.75" customHeight="1">
      <c r="A74" s="2"/>
      <c r="B74" s="2"/>
      <c r="C74" s="2"/>
      <c r="D74" s="2"/>
      <c r="E74" s="2"/>
      <c r="F74" s="2"/>
    </row>
    <row r="75" ht="15.75" customHeight="1">
      <c r="A75" s="2"/>
      <c r="B75" s="2"/>
      <c r="C75" s="2"/>
      <c r="D75" s="2"/>
      <c r="E75" s="2"/>
      <c r="F75" s="2"/>
    </row>
    <row r="76" ht="15.75" customHeight="1">
      <c r="A76" s="2"/>
      <c r="B76" s="2"/>
      <c r="C76" s="2"/>
      <c r="D76" s="2"/>
      <c r="E76" s="2"/>
      <c r="F76" s="2"/>
    </row>
    <row r="77" ht="15.75" customHeight="1">
      <c r="A77" s="2"/>
      <c r="B77" s="2"/>
      <c r="C77" s="2"/>
      <c r="D77" s="2"/>
      <c r="E77" s="2"/>
      <c r="F77" s="2"/>
    </row>
    <row r="78" ht="15.75" customHeight="1">
      <c r="A78" s="2"/>
      <c r="B78" s="2"/>
      <c r="C78" s="2"/>
      <c r="D78" s="2"/>
      <c r="E78" s="2"/>
      <c r="F78" s="2"/>
    </row>
    <row r="79" ht="15.75" customHeight="1">
      <c r="A79" s="2"/>
      <c r="B79" s="2"/>
      <c r="C79" s="2"/>
      <c r="D79" s="2"/>
      <c r="E79" s="2"/>
      <c r="F79" s="2"/>
    </row>
    <row r="80" ht="15.75" customHeight="1">
      <c r="A80" s="2"/>
      <c r="B80" s="2"/>
      <c r="C80" s="2"/>
      <c r="D80" s="2"/>
      <c r="E80" s="2"/>
      <c r="F80" s="2"/>
    </row>
    <row r="81" ht="15.75" customHeight="1">
      <c r="A81" s="2"/>
      <c r="B81" s="2"/>
      <c r="C81" s="2"/>
      <c r="D81" s="2"/>
      <c r="E81" s="2"/>
      <c r="F81" s="2"/>
    </row>
    <row r="82" ht="15.75" customHeight="1">
      <c r="A82" s="2"/>
      <c r="B82" s="2"/>
      <c r="C82" s="2"/>
      <c r="D82" s="2"/>
      <c r="E82" s="2"/>
      <c r="F82" s="2"/>
    </row>
    <row r="83" ht="15.75" customHeight="1">
      <c r="A83" s="2"/>
      <c r="B83" s="2"/>
      <c r="C83" s="2"/>
      <c r="D83" s="2"/>
      <c r="E83" s="2"/>
      <c r="F83" s="2"/>
    </row>
    <row r="84" ht="15.75" customHeight="1">
      <c r="A84" s="2"/>
      <c r="B84" s="2"/>
      <c r="C84" s="2"/>
      <c r="D84" s="2"/>
      <c r="E84" s="2"/>
      <c r="F84" s="2"/>
    </row>
    <row r="85" ht="15.75" customHeight="1">
      <c r="A85" s="2"/>
      <c r="B85" s="2"/>
      <c r="C85" s="2"/>
      <c r="D85" s="2"/>
      <c r="E85" s="2"/>
      <c r="F85" s="2"/>
    </row>
    <row r="86" ht="15.75" customHeight="1">
      <c r="A86" s="2"/>
      <c r="B86" s="2"/>
      <c r="C86" s="2"/>
      <c r="D86" s="2"/>
      <c r="E86" s="2"/>
      <c r="F86" s="2"/>
    </row>
    <row r="87" ht="15.75" customHeight="1">
      <c r="A87" s="2"/>
      <c r="B87" s="2"/>
      <c r="C87" s="2"/>
      <c r="D87" s="2"/>
      <c r="E87" s="2"/>
      <c r="F87" s="2"/>
    </row>
    <row r="88" ht="15.75" customHeight="1">
      <c r="A88" s="2"/>
      <c r="B88" s="2"/>
      <c r="C88" s="2"/>
      <c r="D88" s="2"/>
      <c r="E88" s="2"/>
      <c r="F88" s="2"/>
    </row>
    <row r="89" ht="15.75" customHeight="1">
      <c r="A89" s="2"/>
      <c r="B89" s="2"/>
      <c r="C89" s="2"/>
      <c r="D89" s="2"/>
      <c r="E89" s="2"/>
      <c r="F89" s="2"/>
    </row>
    <row r="90" ht="15.75" customHeight="1">
      <c r="A90" s="2"/>
      <c r="B90" s="2"/>
      <c r="C90" s="2"/>
      <c r="D90" s="2"/>
      <c r="E90" s="2"/>
      <c r="F90" s="2"/>
    </row>
    <row r="91" ht="15.75" customHeight="1">
      <c r="A91" s="2"/>
      <c r="B91" s="2"/>
      <c r="C91" s="2"/>
      <c r="D91" s="2"/>
      <c r="E91" s="2"/>
      <c r="F91" s="2"/>
    </row>
    <row r="92" ht="15.75" customHeight="1">
      <c r="A92" s="2"/>
      <c r="B92" s="2"/>
      <c r="C92" s="2"/>
      <c r="D92" s="2"/>
      <c r="E92" s="2"/>
      <c r="F92" s="2"/>
    </row>
    <row r="93" ht="15.75" customHeight="1">
      <c r="A93" s="2"/>
      <c r="B93" s="2"/>
      <c r="C93" s="2"/>
      <c r="D93" s="2"/>
      <c r="E93" s="2"/>
      <c r="F93" s="2"/>
    </row>
    <row r="94" ht="15.75" customHeight="1">
      <c r="A94" s="2"/>
      <c r="B94" s="2"/>
      <c r="C94" s="2"/>
      <c r="D94" s="2"/>
      <c r="E94" s="2"/>
      <c r="F94" s="2"/>
    </row>
    <row r="95" ht="15.75" customHeight="1">
      <c r="A95" s="2"/>
      <c r="B95" s="2"/>
      <c r="C95" s="2"/>
      <c r="D95" s="2"/>
      <c r="E95" s="2"/>
      <c r="F95" s="2"/>
    </row>
    <row r="96" ht="15.75" customHeight="1">
      <c r="A96" s="2"/>
      <c r="B96" s="2"/>
      <c r="C96" s="2"/>
      <c r="D96" s="2"/>
      <c r="E96" s="2"/>
      <c r="F96" s="2"/>
    </row>
    <row r="97" ht="15.75" customHeight="1">
      <c r="A97" s="2"/>
      <c r="B97" s="2"/>
      <c r="C97" s="2"/>
      <c r="D97" s="2"/>
      <c r="E97" s="2"/>
      <c r="F97" s="2"/>
    </row>
    <row r="98" ht="15.75" customHeight="1">
      <c r="A98" s="2"/>
      <c r="B98" s="2"/>
      <c r="C98" s="2"/>
      <c r="D98" s="2"/>
      <c r="E98" s="2"/>
      <c r="F98" s="2"/>
    </row>
    <row r="99" ht="15.75" customHeight="1">
      <c r="A99" s="2"/>
      <c r="B99" s="2"/>
      <c r="C99" s="2"/>
      <c r="D99" s="2"/>
      <c r="E99" s="2"/>
      <c r="F99" s="2"/>
    </row>
    <row r="100" ht="15.75" customHeight="1">
      <c r="A100" s="2"/>
      <c r="B100" s="2"/>
      <c r="C100" s="2"/>
      <c r="D100" s="2"/>
      <c r="E100" s="2"/>
      <c r="F100" s="2"/>
    </row>
  </sheetData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8.0"/>
    <col customWidth="1" min="2" max="2" width="16.0"/>
    <col customWidth="1" min="3" max="11" width="8.71"/>
  </cols>
  <sheetData>
    <row r="1" ht="17.25" customHeight="1">
      <c r="A1" s="14" t="s">
        <v>30</v>
      </c>
      <c r="B1" s="2"/>
    </row>
    <row r="2">
      <c r="A2" s="2"/>
      <c r="B2" s="2"/>
    </row>
    <row r="3" ht="15.0" customHeight="1">
      <c r="A3" s="15" t="s">
        <v>31</v>
      </c>
      <c r="B3" s="2"/>
    </row>
    <row r="4" ht="15.0" customHeight="1">
      <c r="A4" s="16" t="s">
        <v>32</v>
      </c>
      <c r="B4" s="17">
        <v>250000.0</v>
      </c>
    </row>
    <row r="5" ht="15.0" customHeight="1">
      <c r="A5" s="16" t="s">
        <v>33</v>
      </c>
      <c r="B5" s="18">
        <v>0.49</v>
      </c>
    </row>
    <row r="6" ht="15.0" customHeight="1">
      <c r="A6" s="16" t="s">
        <v>5</v>
      </c>
      <c r="B6" s="5" t="str">
        <f>B4*B5</f>
        <v>$122,500</v>
      </c>
    </row>
    <row r="7" ht="15.0" customHeight="1">
      <c r="A7" s="16" t="s">
        <v>34</v>
      </c>
      <c r="B7" s="17">
        <v>60000.0</v>
      </c>
    </row>
    <row r="8" ht="15.0" customHeight="1">
      <c r="A8" s="16" t="s">
        <v>35</v>
      </c>
      <c r="B8" s="17" t="str">
        <f>B6-B7</f>
        <v>$62,500</v>
      </c>
    </row>
    <row r="9">
      <c r="A9" s="2"/>
      <c r="B9" s="2"/>
    </row>
    <row r="10" ht="15.0" customHeight="1">
      <c r="A10" s="15" t="s">
        <v>36</v>
      </c>
      <c r="B10" s="2"/>
    </row>
    <row r="11" ht="15.0" customHeight="1">
      <c r="A11" s="16" t="s">
        <v>37</v>
      </c>
      <c r="B11" s="19" t="s">
        <v>38</v>
      </c>
    </row>
    <row r="12" ht="15.0" customHeight="1">
      <c r="A12" s="16" t="s">
        <v>39</v>
      </c>
      <c r="B12" s="20">
        <v>1.6</v>
      </c>
    </row>
    <row r="13" ht="15.0" customHeight="1">
      <c r="A13" s="16" t="s">
        <v>40</v>
      </c>
      <c r="B13" s="21">
        <v>45.0</v>
      </c>
    </row>
    <row r="14" ht="15.0" customHeight="1">
      <c r="A14" s="16" t="s">
        <v>41</v>
      </c>
      <c r="B14" s="21">
        <v>24.0</v>
      </c>
    </row>
    <row r="15" ht="15.0" customHeight="1">
      <c r="A15" s="16" t="s">
        <v>42</v>
      </c>
      <c r="B15" s="21">
        <v>16.0</v>
      </c>
    </row>
    <row r="16" ht="15.0" customHeight="1">
      <c r="A16" s="16" t="s">
        <v>43</v>
      </c>
      <c r="B16" s="21">
        <v>12.0</v>
      </c>
    </row>
    <row r="17" ht="15.0" customHeight="1">
      <c r="A17" s="16" t="s">
        <v>44</v>
      </c>
      <c r="B17" s="21">
        <v>1.0</v>
      </c>
    </row>
    <row r="18" ht="15.0" customHeight="1">
      <c r="A18" s="16" t="s">
        <v>45</v>
      </c>
      <c r="B18" s="21">
        <v>2.0</v>
      </c>
    </row>
    <row r="19">
      <c r="A19" s="2"/>
      <c r="B19" s="2"/>
    </row>
    <row r="20" ht="15.0" customHeight="1">
      <c r="A20" s="15" t="s">
        <v>46</v>
      </c>
      <c r="B20" s="2"/>
    </row>
    <row r="21" ht="15.0" customHeight="1">
      <c r="A21" s="16" t="s">
        <v>47</v>
      </c>
      <c r="B21" s="22">
        <v>2.5</v>
      </c>
    </row>
    <row r="22" ht="15.0" customHeight="1">
      <c r="A22" s="16" t="s">
        <v>48</v>
      </c>
      <c r="B22" s="22">
        <v>4.0</v>
      </c>
    </row>
    <row r="23" ht="15.0" customHeight="1">
      <c r="A23" s="16" t="s">
        <v>49</v>
      </c>
      <c r="B23" s="22">
        <v>6.0</v>
      </c>
    </row>
    <row r="24" ht="15.0" customHeight="1">
      <c r="A24" s="16" t="s">
        <v>50</v>
      </c>
      <c r="B24" s="22">
        <v>8.0</v>
      </c>
    </row>
    <row r="25" ht="15.0" customHeight="1">
      <c r="A25" s="16" t="s">
        <v>51</v>
      </c>
      <c r="B25" s="22">
        <v>40.0</v>
      </c>
    </row>
    <row r="26" ht="15.0" customHeight="1">
      <c r="A26" s="16" t="s">
        <v>52</v>
      </c>
      <c r="B26" s="22">
        <v>120.0</v>
      </c>
    </row>
    <row r="27" ht="15.75" customHeight="1">
      <c r="A27" s="2"/>
      <c r="B27" s="2"/>
    </row>
    <row r="28" ht="15.0" customHeight="1">
      <c r="A28" s="15" t="s">
        <v>53</v>
      </c>
      <c r="B28" s="2"/>
    </row>
    <row r="29" ht="15.0" customHeight="1">
      <c r="A29" s="16" t="s">
        <v>47</v>
      </c>
      <c r="B29" s="22">
        <v>2.5</v>
      </c>
    </row>
    <row r="30" ht="15.0" customHeight="1">
      <c r="A30" s="16" t="s">
        <v>48</v>
      </c>
      <c r="B30" s="22">
        <v>4.0</v>
      </c>
    </row>
    <row r="31" ht="15.0" customHeight="1">
      <c r="A31" s="16" t="s">
        <v>49</v>
      </c>
      <c r="B31" s="22">
        <v>4.0</v>
      </c>
    </row>
    <row r="32" ht="15.0" customHeight="1">
      <c r="A32" s="16" t="s">
        <v>50</v>
      </c>
      <c r="B32" s="22">
        <v>4.0</v>
      </c>
    </row>
    <row r="33" ht="15.0" customHeight="1">
      <c r="A33" s="16" t="s">
        <v>51</v>
      </c>
      <c r="B33" s="22">
        <v>16.0</v>
      </c>
    </row>
    <row r="34" ht="15.0" customHeight="1">
      <c r="A34" s="16" t="s">
        <v>52</v>
      </c>
      <c r="B34" s="22">
        <v>120.0</v>
      </c>
    </row>
    <row r="35" ht="15.75" customHeight="1">
      <c r="A35" s="2"/>
      <c r="B35" s="2"/>
    </row>
    <row r="36" ht="15.0" customHeight="1">
      <c r="A36" s="15" t="s">
        <v>54</v>
      </c>
      <c r="B36" s="2"/>
    </row>
    <row r="37" ht="15.0" customHeight="1">
      <c r="A37" s="2"/>
      <c r="B37" s="9" t="s">
        <v>55</v>
      </c>
      <c r="C37" s="9" t="s">
        <v>56</v>
      </c>
    </row>
    <row r="38" ht="15.0" customHeight="1">
      <c r="A38" s="16" t="s">
        <v>57</v>
      </c>
      <c r="B38" s="22">
        <v>25.0</v>
      </c>
      <c r="C38" s="22">
        <v>0.0</v>
      </c>
    </row>
    <row r="39" ht="15.0" customHeight="1">
      <c r="A39" s="16" t="s">
        <v>58</v>
      </c>
      <c r="B39" s="22">
        <v>125.0</v>
      </c>
      <c r="C39" s="22">
        <v>75.0</v>
      </c>
    </row>
    <row r="40" ht="15.0" customHeight="1">
      <c r="A40" s="16" t="s">
        <v>59</v>
      </c>
      <c r="B40" s="22">
        <v>175.0</v>
      </c>
      <c r="C40" s="22">
        <v>125.0</v>
      </c>
    </row>
    <row r="41" ht="15.0" customHeight="1">
      <c r="A41" s="16" t="s">
        <v>60</v>
      </c>
      <c r="B41" s="22">
        <v>250.0</v>
      </c>
      <c r="C41" s="22">
        <v>175.0</v>
      </c>
    </row>
    <row r="42" ht="15.0" customHeight="1">
      <c r="A42" s="16" t="s">
        <v>61</v>
      </c>
      <c r="B42" s="22">
        <v>325.0</v>
      </c>
      <c r="C42" s="22">
        <v>225.0</v>
      </c>
    </row>
    <row r="43" ht="15.0" customHeight="1">
      <c r="A43" s="16" t="s">
        <v>62</v>
      </c>
      <c r="B43" s="22">
        <v>25.0</v>
      </c>
      <c r="C43" s="22">
        <v>15.0</v>
      </c>
    </row>
    <row r="44" ht="15.0" customHeight="1">
      <c r="A44" s="16" t="s">
        <v>63</v>
      </c>
      <c r="B44" s="22">
        <v>25.0</v>
      </c>
      <c r="C44" s="22">
        <v>15.0</v>
      </c>
    </row>
    <row r="45" ht="15.0" customHeight="1">
      <c r="A45" s="16" t="s">
        <v>64</v>
      </c>
      <c r="B45" s="22">
        <v>50.0</v>
      </c>
      <c r="C45" s="22">
        <v>40.0</v>
      </c>
    </row>
    <row r="46" ht="15.0" customHeight="1">
      <c r="A46" s="16" t="s">
        <v>65</v>
      </c>
      <c r="B46" s="23" t="str">
        <f t="shared" ref="B46:C46" si="1">AVERAGE(B39:B42)</f>
        <v>$218.75</v>
      </c>
      <c r="C46" s="23" t="str">
        <f t="shared" si="1"/>
        <v>$150.00</v>
      </c>
    </row>
    <row r="47" ht="15.75" customHeight="1">
      <c r="A47" s="2"/>
      <c r="B47" s="2"/>
    </row>
    <row r="48" ht="15.0" customHeight="1">
      <c r="A48" s="15" t="s">
        <v>66</v>
      </c>
      <c r="B48" s="2"/>
    </row>
    <row r="49" ht="15.0" customHeight="1">
      <c r="A49" s="2"/>
      <c r="B49" s="9" t="s">
        <v>55</v>
      </c>
      <c r="C49" s="9" t="s">
        <v>67</v>
      </c>
      <c r="D49" s="9" t="s">
        <v>68</v>
      </c>
    </row>
    <row r="50" ht="15.0" customHeight="1">
      <c r="A50" s="16" t="s">
        <v>69</v>
      </c>
      <c r="B50" s="22">
        <v>3.5</v>
      </c>
      <c r="C50" s="22">
        <v>1.0</v>
      </c>
      <c r="D50" s="23" t="str">
        <f t="shared" ref="D50:D60" si="2">B50-C50</f>
        <v>$2.50</v>
      </c>
    </row>
    <row r="51" ht="15.0" customHeight="1">
      <c r="A51" s="16" t="s">
        <v>70</v>
      </c>
      <c r="B51" s="22">
        <v>3.0</v>
      </c>
      <c r="C51" s="22">
        <v>1.0</v>
      </c>
      <c r="D51" s="23" t="str">
        <f t="shared" si="2"/>
        <v>$2.00</v>
      </c>
    </row>
    <row r="52" ht="15.0" customHeight="1">
      <c r="A52" s="16" t="s">
        <v>71</v>
      </c>
      <c r="B52" s="22">
        <v>3.5</v>
      </c>
      <c r="C52" s="22">
        <v>1.0</v>
      </c>
      <c r="D52" s="23" t="str">
        <f t="shared" si="2"/>
        <v>$2.50</v>
      </c>
    </row>
    <row r="53" ht="15.0" customHeight="1">
      <c r="A53" s="16" t="s">
        <v>72</v>
      </c>
      <c r="B53" s="22">
        <v>4.0</v>
      </c>
      <c r="C53" s="22">
        <v>1.0</v>
      </c>
      <c r="D53" s="23" t="str">
        <f t="shared" si="2"/>
        <v>$3.00</v>
      </c>
    </row>
    <row r="54" ht="15.0" customHeight="1">
      <c r="A54" s="16" t="s">
        <v>73</v>
      </c>
      <c r="B54" s="22">
        <v>2.0</v>
      </c>
      <c r="C54" s="22">
        <v>1.0</v>
      </c>
      <c r="D54" s="23" t="str">
        <f t="shared" si="2"/>
        <v>$1.00</v>
      </c>
    </row>
    <row r="55" ht="15.0" customHeight="1">
      <c r="A55" s="16" t="s">
        <v>74</v>
      </c>
      <c r="B55" s="22">
        <v>1.5</v>
      </c>
      <c r="C55" s="22">
        <v>1.0</v>
      </c>
      <c r="D55" s="23" t="str">
        <f t="shared" si="2"/>
        <v>$0.50</v>
      </c>
    </row>
    <row r="56" ht="15.0" customHeight="1">
      <c r="A56" s="16" t="s">
        <v>75</v>
      </c>
      <c r="B56" s="22">
        <v>18.0</v>
      </c>
      <c r="C56" s="22">
        <v>12.0</v>
      </c>
      <c r="D56" s="23" t="str">
        <f t="shared" si="2"/>
        <v>$6.00</v>
      </c>
    </row>
    <row r="57" ht="15.0" customHeight="1">
      <c r="A57" s="16" t="s">
        <v>76</v>
      </c>
      <c r="B57" s="22">
        <v>5.0</v>
      </c>
      <c r="C57" s="22">
        <v>3.5</v>
      </c>
      <c r="D57" s="23" t="str">
        <f t="shared" si="2"/>
        <v>$1.50</v>
      </c>
    </row>
    <row r="58" ht="15.0" customHeight="1">
      <c r="A58" s="16" t="s">
        <v>77</v>
      </c>
      <c r="B58" s="22">
        <v>10.0</v>
      </c>
      <c r="C58" s="22">
        <v>4.0</v>
      </c>
      <c r="D58" s="23" t="str">
        <f t="shared" si="2"/>
        <v>$6.00</v>
      </c>
    </row>
    <row r="59" ht="15.0" customHeight="1">
      <c r="A59" s="16" t="s">
        <v>78</v>
      </c>
      <c r="B59" s="22">
        <v>10.0</v>
      </c>
      <c r="C59" s="22">
        <v>7.0</v>
      </c>
      <c r="D59" s="23" t="str">
        <f t="shared" si="2"/>
        <v>$3.00</v>
      </c>
    </row>
    <row r="60" ht="15.0" customHeight="1">
      <c r="A60" s="16" t="s">
        <v>79</v>
      </c>
      <c r="B60" s="22">
        <v>50.0</v>
      </c>
      <c r="C60" s="22">
        <v>30.0</v>
      </c>
      <c r="D60" s="23" t="str">
        <f t="shared" si="2"/>
        <v>$20.00</v>
      </c>
    </row>
    <row r="61" ht="15.0" customHeight="1">
      <c r="A61" s="16" t="s">
        <v>80</v>
      </c>
      <c r="B61" s="6" t="str">
        <f>AVERAGE(C50:C60)/AVERAGE(B50:B60)</f>
        <v>56.6%</v>
      </c>
    </row>
    <row r="62" ht="15.75" customHeight="1">
      <c r="A62" s="2"/>
      <c r="B62" s="2"/>
    </row>
    <row r="63" ht="15.0" customHeight="1">
      <c r="A63" s="15" t="s">
        <v>81</v>
      </c>
      <c r="B63" s="2"/>
    </row>
    <row r="64" ht="15.0" customHeight="1">
      <c r="A64" s="16" t="s">
        <v>82</v>
      </c>
      <c r="B64" s="21">
        <v>1800.0</v>
      </c>
    </row>
    <row r="65" ht="15.0" customHeight="1">
      <c r="A65" s="16" t="s">
        <v>83</v>
      </c>
      <c r="B65" s="21">
        <v>136.0</v>
      </c>
    </row>
    <row r="66" ht="15.0" customHeight="1">
      <c r="A66" s="16" t="s">
        <v>84</v>
      </c>
      <c r="B66" s="17">
        <v>3000.0</v>
      </c>
    </row>
    <row r="67" ht="15.0" customHeight="1">
      <c r="A67" s="16" t="s">
        <v>85</v>
      </c>
      <c r="B67" s="21">
        <v>6.0</v>
      </c>
    </row>
    <row r="68" ht="15.0" customHeight="1">
      <c r="A68" s="16" t="s">
        <v>86</v>
      </c>
      <c r="B68" s="2"/>
    </row>
    <row r="69" ht="15.0" customHeight="1">
      <c r="A69" s="16" t="s">
        <v>87</v>
      </c>
      <c r="B69" s="21">
        <v>136.0</v>
      </c>
    </row>
    <row r="70" ht="15.0" customHeight="1">
      <c r="A70" s="16" t="s">
        <v>88</v>
      </c>
      <c r="B70" s="17">
        <v>3000.0</v>
      </c>
    </row>
    <row r="71" ht="15.0" customHeight="1">
      <c r="A71" s="16" t="s">
        <v>89</v>
      </c>
      <c r="B71" s="21">
        <v>7.0</v>
      </c>
    </row>
    <row r="72" ht="15.0" customHeight="1">
      <c r="A72" s="16" t="s">
        <v>90</v>
      </c>
      <c r="B72" s="21">
        <v>6.0</v>
      </c>
    </row>
    <row r="73" ht="15.0" customHeight="1">
      <c r="A73" s="16" t="s">
        <v>91</v>
      </c>
      <c r="B73" s="22">
        <v>25.0</v>
      </c>
    </row>
    <row r="74" ht="15.0" customHeight="1">
      <c r="A74" s="16" t="s">
        <v>92</v>
      </c>
      <c r="B74" s="22">
        <v>5.0</v>
      </c>
    </row>
    <row r="75" ht="15.0" customHeight="1">
      <c r="A75" s="16" t="s">
        <v>93</v>
      </c>
      <c r="B75" s="18">
        <v>0.3</v>
      </c>
    </row>
    <row r="76" ht="15.75" customHeight="1">
      <c r="A76" s="2"/>
      <c r="B76" s="2"/>
    </row>
    <row r="77" ht="15.0" customHeight="1">
      <c r="A77" s="15" t="s">
        <v>94</v>
      </c>
      <c r="B77" s="2"/>
    </row>
    <row r="78" ht="15.0" customHeight="1">
      <c r="A78" s="16" t="s">
        <v>95</v>
      </c>
      <c r="B78" s="17">
        <v>1000.0</v>
      </c>
    </row>
    <row r="79" ht="15.0" customHeight="1">
      <c r="A79" s="16" t="s">
        <v>96</v>
      </c>
      <c r="B79" s="17">
        <v>1500.0</v>
      </c>
    </row>
    <row r="80" ht="15.0" customHeight="1">
      <c r="A80" s="16" t="s">
        <v>97</v>
      </c>
      <c r="B80" s="18">
        <v>0.025</v>
      </c>
    </row>
    <row r="81" ht="15.0" customHeight="1">
      <c r="A81" s="16" t="s">
        <v>98</v>
      </c>
      <c r="B81" s="2"/>
    </row>
    <row r="82" ht="15.0" customHeight="1">
      <c r="A82" s="16" t="s">
        <v>99</v>
      </c>
      <c r="B82" s="18">
        <v>0.05</v>
      </c>
    </row>
    <row r="83" ht="15.0" customHeight="1">
      <c r="A83" s="3" t="s">
        <v>100</v>
      </c>
      <c r="B83" s="2"/>
    </row>
    <row r="84" ht="15.0" customHeight="1">
      <c r="A84" s="2"/>
      <c r="B84" s="18">
        <v>0.3</v>
      </c>
    </row>
    <row r="85" ht="15.75" customHeight="1">
      <c r="A85" s="2"/>
      <c r="B85" s="2"/>
    </row>
    <row r="86" ht="15.0" customHeight="1">
      <c r="A86" s="15" t="s">
        <v>101</v>
      </c>
      <c r="B86" s="2"/>
    </row>
    <row r="87" ht="15.0" customHeight="1">
      <c r="A87" s="16" t="s">
        <v>102</v>
      </c>
      <c r="B87" s="17">
        <v>3000.0</v>
      </c>
    </row>
    <row r="88" ht="15.0" customHeight="1">
      <c r="A88" s="16" t="s">
        <v>103</v>
      </c>
      <c r="B88" s="17">
        <v>750.0</v>
      </c>
    </row>
    <row r="89" ht="15.75" customHeight="1">
      <c r="A89" s="2"/>
      <c r="B89" s="2"/>
    </row>
    <row r="90" ht="15.0" customHeight="1">
      <c r="A90" s="15" t="s">
        <v>104</v>
      </c>
      <c r="B90" s="2"/>
    </row>
    <row r="91" ht="15.0" customHeight="1">
      <c r="A91" s="16"/>
      <c r="B91" s="18"/>
    </row>
    <row r="92" ht="15.0" customHeight="1">
      <c r="A92" s="16"/>
      <c r="B92" s="18"/>
    </row>
    <row r="93" ht="15.0" customHeight="1">
      <c r="A93" s="16"/>
      <c r="B93" s="18"/>
    </row>
    <row r="94" ht="15.0" customHeight="1">
      <c r="A94" s="16"/>
      <c r="B94" s="18"/>
    </row>
    <row r="95" ht="15.0" customHeight="1">
      <c r="A95" s="16"/>
      <c r="B95" s="6"/>
    </row>
    <row r="96" ht="15.75" customHeight="1">
      <c r="A96" s="2"/>
      <c r="B96" s="2"/>
    </row>
    <row r="97" ht="15.0" customHeight="1">
      <c r="A97" s="15" t="s">
        <v>105</v>
      </c>
      <c r="B97" s="2"/>
    </row>
    <row r="98" ht="15.0" customHeight="1">
      <c r="A98" s="16" t="s">
        <v>106</v>
      </c>
      <c r="B98" s="18">
        <v>0.03</v>
      </c>
    </row>
    <row r="99" ht="15.0" customHeight="1">
      <c r="A99" s="16" t="s">
        <v>107</v>
      </c>
      <c r="B99" s="18">
        <v>0.03</v>
      </c>
    </row>
    <row r="100" ht="15.0" customHeight="1">
      <c r="A100" s="16" t="s">
        <v>108</v>
      </c>
      <c r="B100" s="17">
        <v>200.0</v>
      </c>
    </row>
    <row r="101" ht="15.0" customHeight="1">
      <c r="A101" s="16" t="s">
        <v>109</v>
      </c>
      <c r="B101" s="18">
        <v>0.02</v>
      </c>
    </row>
    <row r="102" ht="15.0" customHeight="1">
      <c r="A102" s="16" t="s">
        <v>110</v>
      </c>
      <c r="B102" s="17">
        <v>300.0</v>
      </c>
    </row>
    <row r="103" ht="15.75" customHeight="1">
      <c r="A103" s="2"/>
      <c r="B103" s="2"/>
    </row>
    <row r="104" ht="15.0" customHeight="1">
      <c r="A104" s="15" t="s">
        <v>111</v>
      </c>
      <c r="B104" s="2"/>
    </row>
    <row r="105" ht="15.0" customHeight="1">
      <c r="A105" s="3" t="s">
        <v>112</v>
      </c>
      <c r="B105" s="2"/>
    </row>
    <row r="106" ht="15.75" customHeight="1">
      <c r="A106" s="2"/>
      <c r="B106" s="2"/>
    </row>
    <row r="107" ht="15.75" customHeight="1">
      <c r="A107" s="2"/>
      <c r="B107" s="2"/>
    </row>
    <row r="108" ht="15.0" customHeight="1">
      <c r="A108" s="15" t="s">
        <v>113</v>
      </c>
      <c r="B108" s="2"/>
    </row>
    <row r="109" ht="15.0" customHeight="1">
      <c r="A109" s="2" t="s">
        <v>114</v>
      </c>
      <c r="B109" s="24">
        <v>0.2</v>
      </c>
      <c r="C109" s="24">
        <v>0.35</v>
      </c>
      <c r="D109" s="24">
        <v>0.5</v>
      </c>
      <c r="E109" s="24">
        <v>0.65</v>
      </c>
      <c r="F109" s="24">
        <v>0.8</v>
      </c>
      <c r="G109" s="24">
        <v>1.0</v>
      </c>
    </row>
    <row r="110" ht="15.75" customHeight="1">
      <c r="A110" s="2"/>
      <c r="B110" s="2"/>
    </row>
    <row r="111" ht="15.0" customHeight="1">
      <c r="A111" s="15" t="s">
        <v>115</v>
      </c>
      <c r="B111" s="2"/>
    </row>
    <row r="112" ht="15.0" customHeight="1">
      <c r="A112" s="2" t="s">
        <v>116</v>
      </c>
      <c r="B112" s="18">
        <v>0.3</v>
      </c>
    </row>
    <row r="113" ht="15.0" customHeight="1">
      <c r="A113" s="2" t="s">
        <v>117</v>
      </c>
      <c r="B113" s="17">
        <v>25.0</v>
      </c>
    </row>
    <row r="114" ht="15.75" customHeight="1">
      <c r="A114" s="2"/>
      <c r="B114" s="2"/>
    </row>
    <row r="115" ht="15.0" customHeight="1">
      <c r="A115" s="15" t="s">
        <v>118</v>
      </c>
      <c r="B115" s="2"/>
    </row>
    <row r="116" ht="15.0" customHeight="1">
      <c r="A116" s="16" t="s">
        <v>119</v>
      </c>
      <c r="B116" s="18">
        <v>0.2</v>
      </c>
    </row>
    <row r="117" ht="15.75" customHeight="1">
      <c r="A117" s="2"/>
      <c r="B117" s="2"/>
    </row>
    <row r="118" ht="15.0" customHeight="1">
      <c r="A118" s="15" t="s">
        <v>120</v>
      </c>
      <c r="B118" s="2"/>
    </row>
    <row r="119" ht="15.0" customHeight="1">
      <c r="A119" s="16"/>
      <c r="B119" s="17"/>
    </row>
    <row r="120" ht="15.0" customHeight="1">
      <c r="A120" s="16" t="s">
        <v>121</v>
      </c>
      <c r="B120" s="17">
        <v>2000.0</v>
      </c>
    </row>
    <row r="121" ht="15.75" customHeight="1">
      <c r="A121" s="2"/>
      <c r="B121" s="2"/>
    </row>
    <row r="122" ht="15.0" customHeight="1">
      <c r="A122" s="15" t="s">
        <v>122</v>
      </c>
      <c r="B122" s="2"/>
    </row>
    <row r="123" ht="15.0" customHeight="1">
      <c r="A123" s="16" t="s">
        <v>47</v>
      </c>
      <c r="B123" s="18">
        <v>0.75</v>
      </c>
    </row>
    <row r="124" ht="15.0" customHeight="1">
      <c r="A124" s="16" t="s">
        <v>48</v>
      </c>
      <c r="B124" s="18">
        <v>0.05</v>
      </c>
    </row>
    <row r="125" ht="15.0" customHeight="1">
      <c r="A125" s="16" t="s">
        <v>49</v>
      </c>
      <c r="B125" s="18">
        <v>0.05</v>
      </c>
    </row>
    <row r="126" ht="15.0" customHeight="1">
      <c r="A126" s="16" t="s">
        <v>50</v>
      </c>
      <c r="B126" s="18">
        <v>0.05</v>
      </c>
    </row>
    <row r="127" ht="15.0" customHeight="1">
      <c r="A127" s="16" t="s">
        <v>51</v>
      </c>
      <c r="B127" s="18">
        <v>0.05</v>
      </c>
    </row>
    <row r="128" ht="15.0" customHeight="1">
      <c r="A128" s="16" t="s">
        <v>52</v>
      </c>
      <c r="B128" s="18">
        <v>0.05</v>
      </c>
    </row>
    <row r="129" ht="15.0" customHeight="1">
      <c r="A129" s="16" t="s">
        <v>123</v>
      </c>
      <c r="B129" s="6" t="str">
        <f>SUM(B123:B128)</f>
        <v>100.0%</v>
      </c>
    </row>
    <row r="130" ht="15.0" customHeight="1">
      <c r="A130" s="3"/>
      <c r="B130" s="2"/>
    </row>
    <row r="131" ht="15.75" customHeight="1">
      <c r="A131" s="2"/>
      <c r="B131" s="2"/>
    </row>
    <row r="132" ht="15.0" customHeight="1">
      <c r="A132" s="15" t="s">
        <v>124</v>
      </c>
      <c r="B132" s="2"/>
    </row>
    <row r="133" ht="15.0" customHeight="1">
      <c r="A133" s="2" t="s">
        <v>125</v>
      </c>
      <c r="B133" s="17">
        <v>400.0</v>
      </c>
    </row>
  </sheetData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0"/>
    <col customWidth="1" min="2" max="6" width="15.0"/>
    <col customWidth="1" min="7" max="11" width="8.71"/>
  </cols>
  <sheetData>
    <row r="1" ht="17.25" customHeight="1">
      <c r="A1" s="14" t="s">
        <v>126</v>
      </c>
      <c r="B1" s="2"/>
      <c r="C1" s="2"/>
      <c r="D1" s="2"/>
      <c r="E1" s="2"/>
      <c r="F1" s="2"/>
    </row>
    <row r="2">
      <c r="A2" s="2"/>
      <c r="B2" s="2"/>
      <c r="C2" s="2"/>
      <c r="D2" s="2"/>
      <c r="E2" s="2"/>
      <c r="F2" s="2"/>
    </row>
    <row r="3" ht="15.0" customHeight="1">
      <c r="A3" s="25" t="s">
        <v>127</v>
      </c>
      <c r="B3" s="25" t="s">
        <v>128</v>
      </c>
      <c r="C3" s="25" t="s">
        <v>129</v>
      </c>
      <c r="D3" s="25" t="s">
        <v>130</v>
      </c>
      <c r="E3" s="25" t="s">
        <v>131</v>
      </c>
      <c r="F3" s="25" t="s">
        <v>132</v>
      </c>
    </row>
    <row r="4" ht="15.0" customHeight="1">
      <c r="A4" s="26" t="s">
        <v>47</v>
      </c>
      <c r="B4" s="27" t="str">
        <f>Assumptions!B13</f>
        <v>45</v>
      </c>
      <c r="C4" s="28" t="str">
        <f>Assumptions!B21</f>
        <v>$2.50</v>
      </c>
      <c r="D4" s="28" t="str">
        <f>B4*C4*(1-Assumptions!$B$116)</f>
        <v>$90.00</v>
      </c>
      <c r="E4" s="28" t="str">
        <f>Assumptions!B29</f>
        <v>$2.50</v>
      </c>
      <c r="F4" s="28" t="str">
        <f t="shared" ref="F4:F9" si="1">B4*E4</f>
        <v>$112.50</v>
      </c>
    </row>
    <row r="5" ht="15.0" customHeight="1">
      <c r="A5" s="26" t="s">
        <v>48</v>
      </c>
      <c r="B5" s="27" t="str">
        <f>Assumptions!B14</f>
        <v>24</v>
      </c>
      <c r="C5" s="28" t="str">
        <f>Assumptions!B22</f>
        <v>$4.00</v>
      </c>
      <c r="D5" s="28" t="str">
        <f>B5*C5*(1-Assumptions!$B$116)</f>
        <v>$76.80</v>
      </c>
      <c r="E5" s="28" t="str">
        <f>Assumptions!B30</f>
        <v>$4.00</v>
      </c>
      <c r="F5" s="28" t="str">
        <f t="shared" si="1"/>
        <v>$96.00</v>
      </c>
    </row>
    <row r="6" ht="15.0" customHeight="1">
      <c r="A6" s="26" t="s">
        <v>49</v>
      </c>
      <c r="B6" s="27" t="str">
        <f>Assumptions!B15</f>
        <v>16</v>
      </c>
      <c r="C6" s="28" t="str">
        <f>Assumptions!B23</f>
        <v>$6.00</v>
      </c>
      <c r="D6" s="28" t="str">
        <f>B6*C6*(1-Assumptions!$B$116)</f>
        <v>$76.80</v>
      </c>
      <c r="E6" s="28" t="str">
        <f>Assumptions!B31</f>
        <v>$4.00</v>
      </c>
      <c r="F6" s="28" t="str">
        <f t="shared" si="1"/>
        <v>$64.00</v>
      </c>
    </row>
    <row r="7" ht="15.0" customHeight="1">
      <c r="A7" s="26" t="s">
        <v>50</v>
      </c>
      <c r="B7" s="27" t="str">
        <f>Assumptions!B16</f>
        <v>12</v>
      </c>
      <c r="C7" s="28" t="str">
        <f>Assumptions!B24</f>
        <v>$8.00</v>
      </c>
      <c r="D7" s="28" t="str">
        <f>B7*C7*(1-Assumptions!$B$116)</f>
        <v>$76.80</v>
      </c>
      <c r="E7" s="28" t="str">
        <f>Assumptions!B32</f>
        <v>$4.00</v>
      </c>
      <c r="F7" s="28" t="str">
        <f t="shared" si="1"/>
        <v>$48.00</v>
      </c>
    </row>
    <row r="8" ht="15.0" customHeight="1">
      <c r="A8" s="26" t="s">
        <v>51</v>
      </c>
      <c r="B8" s="27" t="str">
        <f>Assumptions!B17</f>
        <v>1</v>
      </c>
      <c r="C8" s="28" t="str">
        <f>Assumptions!B25</f>
        <v>$40.00</v>
      </c>
      <c r="D8" s="28" t="str">
        <f>B8*C8*(1-Assumptions!$B$116)</f>
        <v>$32.00</v>
      </c>
      <c r="E8" s="28" t="str">
        <f>Assumptions!B33</f>
        <v>$16.00</v>
      </c>
      <c r="F8" s="28" t="str">
        <f t="shared" si="1"/>
        <v>$16.00</v>
      </c>
    </row>
    <row r="9" ht="15.0" customHeight="1">
      <c r="A9" s="26" t="s">
        <v>52</v>
      </c>
      <c r="B9" s="26" t="str">
        <f>1/Assumptions!B18</f>
        <v>0.5</v>
      </c>
      <c r="C9" s="28" t="str">
        <f>Assumptions!B26</f>
        <v>$120.00</v>
      </c>
      <c r="D9" s="28" t="str">
        <f>B9*C9*(1-Assumptions!$B$116)</f>
        <v>$48.00</v>
      </c>
      <c r="E9" s="28" t="str">
        <f>Assumptions!B34</f>
        <v>$120.00</v>
      </c>
      <c r="F9" s="28" t="str">
        <f t="shared" si="1"/>
        <v>$60.00</v>
      </c>
    </row>
    <row r="10">
      <c r="A10" s="2"/>
      <c r="B10" s="2"/>
      <c r="C10" s="2"/>
      <c r="D10" s="2"/>
      <c r="E10" s="2"/>
      <c r="F10" s="2"/>
    </row>
    <row r="11" ht="15.0" customHeight="1">
      <c r="A11" s="9" t="s">
        <v>133</v>
      </c>
      <c r="B11" s="2"/>
      <c r="C11" s="2"/>
      <c r="D11" s="2"/>
      <c r="E11" s="2"/>
      <c r="F11" s="2"/>
    </row>
    <row r="12" ht="15.0" customHeight="1">
      <c r="A12" s="2" t="s">
        <v>47</v>
      </c>
      <c r="B12" s="11" t="str">
        <f>Assumptions!B123</f>
        <v>75.0%</v>
      </c>
      <c r="C12" s="2"/>
      <c r="D12" s="2"/>
      <c r="E12" s="2"/>
      <c r="F12" s="2"/>
    </row>
    <row r="13" ht="15.0" customHeight="1">
      <c r="A13" s="2" t="s">
        <v>48</v>
      </c>
      <c r="B13" s="11" t="str">
        <f>Assumptions!B124</f>
        <v>5.0%</v>
      </c>
      <c r="C13" s="2"/>
      <c r="D13" s="2"/>
      <c r="E13" s="2"/>
      <c r="F13" s="2"/>
    </row>
    <row r="14" ht="15.0" customHeight="1">
      <c r="A14" s="2" t="s">
        <v>49</v>
      </c>
      <c r="B14" s="11" t="str">
        <f>Assumptions!B125</f>
        <v>5.0%</v>
      </c>
      <c r="C14" s="2"/>
      <c r="D14" s="2"/>
      <c r="E14" s="2"/>
      <c r="F14" s="2"/>
    </row>
    <row r="15" ht="15.0" customHeight="1">
      <c r="A15" s="2" t="s">
        <v>50</v>
      </c>
      <c r="B15" s="11" t="str">
        <f>Assumptions!B126</f>
        <v>5.0%</v>
      </c>
      <c r="C15" s="2"/>
      <c r="D15" s="2"/>
      <c r="E15" s="2"/>
      <c r="F15" s="2"/>
    </row>
    <row r="16" ht="15.0" customHeight="1">
      <c r="A16" s="2" t="s">
        <v>51</v>
      </c>
      <c r="B16" s="11" t="str">
        <f>Assumptions!B127</f>
        <v>5.0%</v>
      </c>
      <c r="C16" s="2"/>
      <c r="D16" s="2"/>
      <c r="E16" s="2"/>
      <c r="F16" s="2"/>
    </row>
    <row r="17" ht="15.0" customHeight="1">
      <c r="A17" s="2" t="s">
        <v>52</v>
      </c>
      <c r="B17" s="11" t="str">
        <f>Assumptions!B128</f>
        <v>5.0%</v>
      </c>
      <c r="C17" s="2"/>
      <c r="D17" s="2"/>
      <c r="E17" s="2"/>
      <c r="F17" s="2"/>
    </row>
    <row r="18" ht="15.0" customHeight="1">
      <c r="A18" s="2" t="s">
        <v>134</v>
      </c>
      <c r="B18" s="6" t="str">
        <f>SUM(B12:B17)</f>
        <v>100.0%</v>
      </c>
      <c r="C18" s="2"/>
      <c r="D18" s="2"/>
      <c r="E18" s="2"/>
      <c r="F18" s="2"/>
    </row>
    <row r="19" ht="15.0" customHeight="1">
      <c r="A19" s="2"/>
      <c r="B19" s="23" t="str">
        <f>B12*F4+B13*F6+B14*F8+B15*F9</f>
        <v>$91.38</v>
      </c>
      <c r="C19" s="2"/>
      <c r="D19" s="2"/>
      <c r="E19" s="2"/>
      <c r="F19" s="2"/>
    </row>
    <row r="20" ht="15.0" customHeight="1">
      <c r="A20" s="2" t="s">
        <v>135</v>
      </c>
      <c r="B20" s="23" t="str">
        <f>B12*D4+B13*D5+B14*D6+B15*D7+B16*D8+B17*D9</f>
        <v>$83.02</v>
      </c>
      <c r="C20" s="2"/>
      <c r="D20" s="2"/>
      <c r="E20" s="2"/>
      <c r="F20" s="2"/>
    </row>
    <row r="21" ht="15.0" customHeight="1">
      <c r="A21" s="2" t="s">
        <v>136</v>
      </c>
      <c r="B21" s="23" t="str">
        <f>B12*F4+B13*F5+B14*F6+B15*F7+B16*F8+B17*F9</f>
        <v>$98.58</v>
      </c>
      <c r="C21" s="2"/>
      <c r="D21" s="2"/>
      <c r="E21" s="2"/>
      <c r="F21" s="2"/>
    </row>
    <row r="22" ht="15.75" customHeight="1">
      <c r="A22" s="2"/>
      <c r="B22" s="2"/>
      <c r="C22" s="2"/>
      <c r="D22" s="2"/>
      <c r="E22" s="2"/>
      <c r="F22" s="2"/>
    </row>
    <row r="23" ht="15.75" customHeight="1">
      <c r="A23" s="2"/>
      <c r="B23" s="2"/>
      <c r="C23" s="2"/>
      <c r="D23" s="2"/>
      <c r="E23" s="2"/>
      <c r="F23" s="2"/>
    </row>
    <row r="24" ht="15.75" customHeight="1">
      <c r="A24" s="2"/>
      <c r="B24" s="2"/>
      <c r="C24" s="2"/>
      <c r="D24" s="2"/>
      <c r="E24" s="2"/>
      <c r="F24" s="2"/>
    </row>
    <row r="25" ht="15.75" customHeight="1">
      <c r="A25" s="2"/>
      <c r="B25" s="2"/>
      <c r="C25" s="2"/>
      <c r="D25" s="2"/>
      <c r="E25" s="2"/>
      <c r="F25" s="2"/>
    </row>
    <row r="26" ht="15.75" customHeight="1">
      <c r="A26" s="2"/>
      <c r="B26" s="2"/>
      <c r="C26" s="2"/>
      <c r="D26" s="2"/>
      <c r="E26" s="2"/>
      <c r="F26" s="2"/>
    </row>
    <row r="27" ht="15.75" customHeight="1">
      <c r="A27" s="2"/>
      <c r="B27" s="2"/>
      <c r="C27" s="2"/>
      <c r="D27" s="2"/>
      <c r="E27" s="2"/>
      <c r="F27" s="2"/>
    </row>
    <row r="28" ht="15.75" customHeight="1">
      <c r="A28" s="2"/>
      <c r="B28" s="2"/>
      <c r="C28" s="2"/>
      <c r="D28" s="2"/>
      <c r="E28" s="2"/>
      <c r="F28" s="2"/>
    </row>
    <row r="29" ht="15.75" customHeight="1">
      <c r="A29" s="2"/>
      <c r="B29" s="2"/>
      <c r="C29" s="2"/>
      <c r="D29" s="2"/>
      <c r="E29" s="2"/>
      <c r="F29" s="2"/>
    </row>
    <row r="30" ht="15.75" customHeight="1">
      <c r="A30" s="2"/>
      <c r="B30" s="2"/>
      <c r="C30" s="2"/>
      <c r="D30" s="2"/>
      <c r="E30" s="2"/>
      <c r="F30" s="2"/>
    </row>
    <row r="31" ht="15.75" customHeight="1">
      <c r="A31" s="2"/>
      <c r="B31" s="2"/>
      <c r="C31" s="2"/>
      <c r="D31" s="2"/>
      <c r="E31" s="2"/>
      <c r="F31" s="2"/>
    </row>
    <row r="32" ht="15.75" customHeight="1">
      <c r="A32" s="2"/>
      <c r="B32" s="2"/>
      <c r="C32" s="2"/>
      <c r="D32" s="2"/>
      <c r="E32" s="2"/>
      <c r="F32" s="2"/>
    </row>
    <row r="33" ht="15.75" customHeight="1">
      <c r="A33" s="2"/>
      <c r="B33" s="2"/>
      <c r="C33" s="2"/>
      <c r="D33" s="2"/>
      <c r="E33" s="2"/>
      <c r="F33" s="2"/>
    </row>
    <row r="34" ht="15.75" customHeight="1">
      <c r="A34" s="2"/>
      <c r="B34" s="2"/>
      <c r="C34" s="2"/>
      <c r="D34" s="2"/>
      <c r="E34" s="2"/>
      <c r="F34" s="2"/>
    </row>
    <row r="35" ht="15.75" customHeight="1">
      <c r="A35" s="2"/>
      <c r="B35" s="2"/>
      <c r="C35" s="2"/>
      <c r="D35" s="2"/>
      <c r="E35" s="2"/>
      <c r="F35" s="2"/>
    </row>
    <row r="36" ht="15.75" customHeight="1">
      <c r="A36" s="2"/>
      <c r="B36" s="2"/>
      <c r="C36" s="2"/>
      <c r="D36" s="2"/>
      <c r="E36" s="2"/>
      <c r="F36" s="2"/>
    </row>
    <row r="37" ht="15.75" customHeight="1">
      <c r="A37" s="2"/>
      <c r="B37" s="2"/>
      <c r="C37" s="2"/>
      <c r="D37" s="2"/>
      <c r="E37" s="2"/>
      <c r="F37" s="2"/>
    </row>
    <row r="38" ht="15.75" customHeight="1">
      <c r="A38" s="2"/>
      <c r="B38" s="2"/>
      <c r="C38" s="2"/>
      <c r="D38" s="2"/>
      <c r="E38" s="2"/>
      <c r="F38" s="2"/>
    </row>
    <row r="39" ht="15.75" customHeight="1">
      <c r="A39" s="2"/>
      <c r="B39" s="2"/>
      <c r="C39" s="2"/>
      <c r="D39" s="2"/>
      <c r="E39" s="2"/>
      <c r="F39" s="2"/>
    </row>
    <row r="40" ht="15.75" customHeight="1">
      <c r="A40" s="2"/>
      <c r="B40" s="2"/>
      <c r="C40" s="2"/>
      <c r="D40" s="2"/>
      <c r="E40" s="2"/>
      <c r="F40" s="2"/>
    </row>
    <row r="41" ht="15.75" customHeight="1">
      <c r="A41" s="2"/>
      <c r="B41" s="2"/>
      <c r="C41" s="2"/>
      <c r="D41" s="2"/>
      <c r="E41" s="2"/>
      <c r="F41" s="2"/>
    </row>
    <row r="42" ht="15.75" customHeight="1">
      <c r="A42" s="2"/>
      <c r="B42" s="2"/>
      <c r="C42" s="2"/>
      <c r="D42" s="2"/>
      <c r="E42" s="2"/>
      <c r="F42" s="2"/>
    </row>
    <row r="43" ht="15.75" customHeight="1">
      <c r="A43" s="2"/>
      <c r="B43" s="2"/>
      <c r="C43" s="2"/>
      <c r="D43" s="2"/>
      <c r="E43" s="2"/>
      <c r="F43" s="2"/>
    </row>
    <row r="44" ht="15.75" customHeight="1">
      <c r="A44" s="2"/>
      <c r="B44" s="2"/>
      <c r="C44" s="2"/>
      <c r="D44" s="2"/>
      <c r="E44" s="2"/>
      <c r="F44" s="2"/>
    </row>
    <row r="45" ht="15.75" customHeight="1">
      <c r="A45" s="2"/>
      <c r="B45" s="2"/>
      <c r="C45" s="2"/>
      <c r="D45" s="2"/>
      <c r="E45" s="2"/>
      <c r="F45" s="2"/>
    </row>
    <row r="46" ht="15.75" customHeight="1">
      <c r="A46" s="2"/>
      <c r="B46" s="2"/>
      <c r="C46" s="2"/>
      <c r="D46" s="2"/>
      <c r="E46" s="2"/>
      <c r="F46" s="2"/>
    </row>
    <row r="47" ht="15.75" customHeight="1">
      <c r="A47" s="2"/>
      <c r="B47" s="2"/>
      <c r="C47" s="2"/>
      <c r="D47" s="2"/>
      <c r="E47" s="2"/>
      <c r="F47" s="2"/>
    </row>
    <row r="48" ht="15.75" customHeight="1">
      <c r="A48" s="2"/>
      <c r="B48" s="2"/>
      <c r="C48" s="2"/>
      <c r="D48" s="2"/>
      <c r="E48" s="2"/>
      <c r="F48" s="2"/>
    </row>
    <row r="49" ht="15.75" customHeight="1">
      <c r="A49" s="2"/>
      <c r="B49" s="2"/>
      <c r="C49" s="2"/>
      <c r="D49" s="2"/>
      <c r="E49" s="2"/>
      <c r="F49" s="2"/>
    </row>
    <row r="50" ht="15.75" customHeight="1">
      <c r="A50" s="2"/>
      <c r="B50" s="2"/>
      <c r="C50" s="2"/>
      <c r="D50" s="2"/>
      <c r="E50" s="2"/>
      <c r="F50" s="2"/>
    </row>
    <row r="51" ht="15.75" customHeight="1">
      <c r="A51" s="2"/>
      <c r="B51" s="2"/>
      <c r="C51" s="2"/>
      <c r="D51" s="2"/>
      <c r="E51" s="2"/>
      <c r="F51" s="2"/>
    </row>
    <row r="52" ht="15.75" customHeight="1">
      <c r="A52" s="2"/>
      <c r="B52" s="2"/>
      <c r="C52" s="2"/>
      <c r="D52" s="2"/>
      <c r="E52" s="2"/>
      <c r="F52" s="2"/>
    </row>
    <row r="53" ht="15.75" customHeight="1">
      <c r="A53" s="2"/>
      <c r="B53" s="2"/>
      <c r="C53" s="2"/>
      <c r="D53" s="2"/>
      <c r="E53" s="2"/>
      <c r="F53" s="2"/>
    </row>
    <row r="54" ht="15.75" customHeight="1">
      <c r="A54" s="2"/>
      <c r="B54" s="2"/>
      <c r="C54" s="2"/>
      <c r="D54" s="2"/>
      <c r="E54" s="2"/>
      <c r="F54" s="2"/>
    </row>
    <row r="55" ht="15.75" customHeight="1">
      <c r="A55" s="2"/>
      <c r="B55" s="2"/>
      <c r="C55" s="2"/>
      <c r="D55" s="2"/>
      <c r="E55" s="2"/>
      <c r="F55" s="2"/>
    </row>
    <row r="56" ht="15.75" customHeight="1">
      <c r="A56" s="2"/>
      <c r="B56" s="2"/>
      <c r="C56" s="2"/>
      <c r="D56" s="2"/>
      <c r="E56" s="2"/>
      <c r="F56" s="2"/>
    </row>
    <row r="57" ht="15.75" customHeight="1">
      <c r="A57" s="2"/>
      <c r="B57" s="2"/>
      <c r="C57" s="2"/>
      <c r="D57" s="2"/>
      <c r="E57" s="2"/>
      <c r="F57" s="2"/>
    </row>
    <row r="58" ht="15.75" customHeight="1">
      <c r="A58" s="2"/>
      <c r="B58" s="2"/>
      <c r="C58" s="2"/>
      <c r="D58" s="2"/>
      <c r="E58" s="2"/>
      <c r="F58" s="2"/>
    </row>
    <row r="59" ht="15.75" customHeight="1">
      <c r="A59" s="2"/>
      <c r="B59" s="2"/>
      <c r="C59" s="2"/>
      <c r="D59" s="2"/>
      <c r="E59" s="2"/>
      <c r="F59" s="2"/>
    </row>
    <row r="60" ht="15.75" customHeight="1">
      <c r="A60" s="2"/>
      <c r="B60" s="2"/>
      <c r="C60" s="2"/>
      <c r="D60" s="2"/>
      <c r="E60" s="2"/>
      <c r="F60" s="2"/>
    </row>
    <row r="61" ht="15.75" customHeight="1">
      <c r="A61" s="2"/>
      <c r="B61" s="2"/>
      <c r="C61" s="2"/>
      <c r="D61" s="2"/>
      <c r="E61" s="2"/>
      <c r="F61" s="2"/>
    </row>
    <row r="62" ht="15.75" customHeight="1">
      <c r="A62" s="2"/>
      <c r="B62" s="2"/>
      <c r="C62" s="2"/>
      <c r="D62" s="2"/>
      <c r="E62" s="2"/>
      <c r="F62" s="2"/>
    </row>
    <row r="63" ht="15.75" customHeight="1">
      <c r="A63" s="2"/>
      <c r="B63" s="2"/>
      <c r="C63" s="2"/>
      <c r="D63" s="2"/>
      <c r="E63" s="2"/>
      <c r="F63" s="2"/>
    </row>
    <row r="64" ht="15.75" customHeight="1">
      <c r="A64" s="2"/>
      <c r="B64" s="2"/>
      <c r="C64" s="2"/>
      <c r="D64" s="2"/>
      <c r="E64" s="2"/>
      <c r="F64" s="2"/>
    </row>
    <row r="65" ht="15.75" customHeight="1">
      <c r="A65" s="2"/>
      <c r="B65" s="2"/>
      <c r="C65" s="2"/>
      <c r="D65" s="2"/>
      <c r="E65" s="2"/>
      <c r="F65" s="2"/>
    </row>
    <row r="66" ht="15.75" customHeight="1">
      <c r="A66" s="2"/>
      <c r="B66" s="2"/>
      <c r="C66" s="2"/>
      <c r="D66" s="2"/>
      <c r="E66" s="2"/>
      <c r="F66" s="2"/>
    </row>
    <row r="67" ht="15.75" customHeight="1">
      <c r="A67" s="2"/>
      <c r="B67" s="2"/>
      <c r="C67" s="2"/>
      <c r="D67" s="2"/>
      <c r="E67" s="2"/>
      <c r="F67" s="2"/>
    </row>
    <row r="68" ht="15.75" customHeight="1">
      <c r="A68" s="2"/>
      <c r="B68" s="2"/>
      <c r="C68" s="2"/>
      <c r="D68" s="2"/>
      <c r="E68" s="2"/>
      <c r="F68" s="2"/>
    </row>
    <row r="69" ht="15.75" customHeight="1">
      <c r="A69" s="2"/>
      <c r="B69" s="2"/>
      <c r="C69" s="2"/>
      <c r="D69" s="2"/>
      <c r="E69" s="2"/>
      <c r="F69" s="2"/>
    </row>
    <row r="70" ht="15.75" customHeight="1">
      <c r="A70" s="2"/>
      <c r="B70" s="2"/>
      <c r="C70" s="2"/>
      <c r="D70" s="2"/>
      <c r="E70" s="2"/>
      <c r="F70" s="2"/>
    </row>
    <row r="71" ht="15.75" customHeight="1">
      <c r="A71" s="2"/>
      <c r="B71" s="2"/>
      <c r="C71" s="2"/>
      <c r="D71" s="2"/>
      <c r="E71" s="2"/>
      <c r="F71" s="2"/>
    </row>
    <row r="72" ht="15.75" customHeight="1">
      <c r="A72" s="2"/>
      <c r="B72" s="2"/>
      <c r="C72" s="2"/>
      <c r="D72" s="2"/>
      <c r="E72" s="2"/>
      <c r="F72" s="2"/>
    </row>
    <row r="73" ht="15.75" customHeight="1">
      <c r="A73" s="2"/>
      <c r="B73" s="2"/>
      <c r="C73" s="2"/>
      <c r="D73" s="2"/>
      <c r="E73" s="2"/>
      <c r="F73" s="2"/>
    </row>
    <row r="74" ht="15.75" customHeight="1">
      <c r="A74" s="2"/>
      <c r="B74" s="2"/>
      <c r="C74" s="2"/>
      <c r="D74" s="2"/>
      <c r="E74" s="2"/>
      <c r="F74" s="2"/>
    </row>
    <row r="75" ht="15.75" customHeight="1">
      <c r="A75" s="2"/>
      <c r="B75" s="2"/>
      <c r="C75" s="2"/>
      <c r="D75" s="2"/>
      <c r="E75" s="2"/>
      <c r="F75" s="2"/>
    </row>
    <row r="76" ht="15.75" customHeight="1">
      <c r="A76" s="2"/>
      <c r="B76" s="2"/>
      <c r="C76" s="2"/>
      <c r="D76" s="2"/>
      <c r="E76" s="2"/>
      <c r="F76" s="2"/>
    </row>
    <row r="77" ht="15.75" customHeight="1">
      <c r="A77" s="2"/>
      <c r="B77" s="2"/>
      <c r="C77" s="2"/>
      <c r="D77" s="2"/>
      <c r="E77" s="2"/>
      <c r="F77" s="2"/>
    </row>
    <row r="78" ht="15.75" customHeight="1">
      <c r="A78" s="2"/>
      <c r="B78" s="2"/>
      <c r="C78" s="2"/>
      <c r="D78" s="2"/>
      <c r="E78" s="2"/>
      <c r="F78" s="2"/>
    </row>
    <row r="79" ht="15.75" customHeight="1">
      <c r="A79" s="2"/>
      <c r="B79" s="2"/>
      <c r="C79" s="2"/>
      <c r="D79" s="2"/>
      <c r="E79" s="2"/>
      <c r="F79" s="2"/>
    </row>
    <row r="80" ht="15.75" customHeight="1">
      <c r="A80" s="2"/>
      <c r="B80" s="2"/>
      <c r="C80" s="2"/>
      <c r="D80" s="2"/>
      <c r="E80" s="2"/>
      <c r="F80" s="2"/>
    </row>
    <row r="81" ht="15.75" customHeight="1">
      <c r="A81" s="2"/>
      <c r="B81" s="2"/>
      <c r="C81" s="2"/>
      <c r="D81" s="2"/>
      <c r="E81" s="2"/>
      <c r="F81" s="2"/>
    </row>
    <row r="82" ht="15.75" customHeight="1">
      <c r="A82" s="2"/>
      <c r="B82" s="2"/>
      <c r="C82" s="2"/>
      <c r="D82" s="2"/>
      <c r="E82" s="2"/>
      <c r="F82" s="2"/>
    </row>
    <row r="83" ht="15.75" customHeight="1">
      <c r="A83" s="2"/>
      <c r="B83" s="2"/>
      <c r="C83" s="2"/>
      <c r="D83" s="2"/>
      <c r="E83" s="2"/>
      <c r="F83" s="2"/>
    </row>
    <row r="84" ht="15.75" customHeight="1">
      <c r="A84" s="2"/>
      <c r="B84" s="2"/>
      <c r="C84" s="2"/>
      <c r="D84" s="2"/>
      <c r="E84" s="2"/>
      <c r="F84" s="2"/>
    </row>
    <row r="85" ht="15.75" customHeight="1">
      <c r="A85" s="2"/>
      <c r="B85" s="2"/>
      <c r="C85" s="2"/>
      <c r="D85" s="2"/>
      <c r="E85" s="2"/>
      <c r="F85" s="2"/>
    </row>
    <row r="86" ht="15.75" customHeight="1">
      <c r="A86" s="2"/>
      <c r="B86" s="2"/>
      <c r="C86" s="2"/>
      <c r="D86" s="2"/>
      <c r="E86" s="2"/>
      <c r="F86" s="2"/>
    </row>
    <row r="87" ht="15.75" customHeight="1">
      <c r="A87" s="2"/>
      <c r="B87" s="2"/>
      <c r="C87" s="2"/>
      <c r="D87" s="2"/>
      <c r="E87" s="2"/>
      <c r="F87" s="2"/>
    </row>
    <row r="88" ht="15.75" customHeight="1">
      <c r="A88" s="2"/>
      <c r="B88" s="2"/>
      <c r="C88" s="2"/>
      <c r="D88" s="2"/>
      <c r="E88" s="2"/>
      <c r="F88" s="2"/>
    </row>
    <row r="89" ht="15.75" customHeight="1">
      <c r="A89" s="2"/>
      <c r="B89" s="2"/>
      <c r="C89" s="2"/>
      <c r="D89" s="2"/>
      <c r="E89" s="2"/>
      <c r="F89" s="2"/>
    </row>
    <row r="90" ht="15.75" customHeight="1">
      <c r="A90" s="2"/>
      <c r="B90" s="2"/>
      <c r="C90" s="2"/>
      <c r="D90" s="2"/>
      <c r="E90" s="2"/>
      <c r="F90" s="2"/>
    </row>
    <row r="91" ht="15.75" customHeight="1">
      <c r="A91" s="2"/>
      <c r="B91" s="2"/>
      <c r="C91" s="2"/>
      <c r="D91" s="2"/>
      <c r="E91" s="2"/>
      <c r="F91" s="2"/>
    </row>
    <row r="92" ht="15.75" customHeight="1">
      <c r="A92" s="2"/>
      <c r="B92" s="2"/>
      <c r="C92" s="2"/>
      <c r="D92" s="2"/>
      <c r="E92" s="2"/>
      <c r="F92" s="2"/>
    </row>
    <row r="93" ht="15.75" customHeight="1">
      <c r="A93" s="2"/>
      <c r="B93" s="2"/>
      <c r="C93" s="2"/>
      <c r="D93" s="2"/>
      <c r="E93" s="2"/>
      <c r="F93" s="2"/>
    </row>
    <row r="94" ht="15.75" customHeight="1">
      <c r="A94" s="2"/>
      <c r="B94" s="2"/>
      <c r="C94" s="2"/>
      <c r="D94" s="2"/>
      <c r="E94" s="2"/>
      <c r="F94" s="2"/>
    </row>
    <row r="95" ht="15.75" customHeight="1">
      <c r="A95" s="2"/>
      <c r="B95" s="2"/>
      <c r="C95" s="2"/>
      <c r="D95" s="2"/>
      <c r="E95" s="2"/>
      <c r="F95" s="2"/>
    </row>
    <row r="96" ht="15.75" customHeight="1">
      <c r="A96" s="2"/>
      <c r="B96" s="2"/>
      <c r="C96" s="2"/>
      <c r="D96" s="2"/>
      <c r="E96" s="2"/>
      <c r="F96" s="2"/>
    </row>
    <row r="97" ht="15.75" customHeight="1">
      <c r="A97" s="2"/>
      <c r="B97" s="2"/>
      <c r="C97" s="2"/>
      <c r="D97" s="2"/>
      <c r="E97" s="2"/>
      <c r="F97" s="2"/>
    </row>
    <row r="98" ht="15.75" customHeight="1">
      <c r="A98" s="2"/>
      <c r="B98" s="2"/>
      <c r="C98" s="2"/>
      <c r="D98" s="2"/>
      <c r="E98" s="2"/>
      <c r="F98" s="2"/>
    </row>
    <row r="99" ht="15.75" customHeight="1">
      <c r="A99" s="2"/>
      <c r="B99" s="2"/>
      <c r="C99" s="2"/>
      <c r="D99" s="2"/>
      <c r="E99" s="2"/>
      <c r="F99" s="2"/>
    </row>
    <row r="100" ht="15.75" customHeight="1">
      <c r="A100" s="2"/>
      <c r="B100" s="2"/>
      <c r="C100" s="2"/>
      <c r="D100" s="2"/>
      <c r="E100" s="2"/>
      <c r="F100" s="2"/>
    </row>
  </sheetData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14" width="11.0"/>
  </cols>
  <sheetData>
    <row r="1" ht="17.25" customHeight="1">
      <c r="A1" s="14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.0" customHeight="1">
      <c r="A2" s="2" t="s">
        <v>138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5.0" customHeight="1">
      <c r="A3" s="2" t="s">
        <v>139</v>
      </c>
      <c r="B3" s="7">
        <v>1.0</v>
      </c>
      <c r="C3" s="7">
        <v>2.0</v>
      </c>
      <c r="D3" s="7">
        <v>3.0</v>
      </c>
      <c r="E3" s="7">
        <v>4.0</v>
      </c>
      <c r="F3" s="7">
        <v>5.0</v>
      </c>
      <c r="G3" s="7">
        <v>6.0</v>
      </c>
      <c r="H3" s="7">
        <v>7.0</v>
      </c>
      <c r="I3" s="7">
        <v>8.0</v>
      </c>
      <c r="J3" s="7">
        <v>9.0</v>
      </c>
      <c r="K3" s="7">
        <v>10.0</v>
      </c>
      <c r="L3" s="7">
        <v>11.0</v>
      </c>
      <c r="M3" s="7">
        <v>12.0</v>
      </c>
      <c r="N3" s="25" t="s">
        <v>140</v>
      </c>
    </row>
    <row r="4" ht="15.0" customHeight="1">
      <c r="A4" s="2" t="s">
        <v>141</v>
      </c>
      <c r="B4" s="2" t="str">
        <f t="array" ref="B4">IF(1&lt;=6,INDEX(Assumptions!$B$109:$G$109,1)*Assumptions!$B$65,Assumptions!$B$65)</f>
        <v>27.2</v>
      </c>
      <c r="C4" s="2" t="str">
        <f t="array" ref="C4">IF(2&lt;=6,INDEX(Assumptions!$B$109:$G$109,2)*Assumptions!$B$65,Assumptions!$B$65)</f>
        <v>47.6</v>
      </c>
      <c r="D4" s="2" t="str">
        <f t="array" ref="D4">IF(3&lt;=6,INDEX(Assumptions!$B$109:$G$109,3)*Assumptions!$B$65,Assumptions!$B$65)</f>
        <v>68</v>
      </c>
      <c r="E4" s="2" t="str">
        <f t="array" ref="E4">IF(4&lt;=6,INDEX(Assumptions!$B$109:$G$109,4)*Assumptions!$B$65,Assumptions!$B$65)</f>
        <v>88.4</v>
      </c>
      <c r="F4" s="2" t="str">
        <f t="array" ref="F4">IF(5&lt;=6,INDEX(Assumptions!$B$109:$G$109,5)*Assumptions!$B$65,Assumptions!$B$65)</f>
        <v>108.8</v>
      </c>
      <c r="G4" s="2" t="str">
        <f t="array" ref="G4">IF(6&lt;=6,INDEX(Assumptions!$B$109:$G$109,6)*Assumptions!$B$65,Assumptions!$B$65)</f>
        <v>136</v>
      </c>
      <c r="H4" s="29" t="str">
        <f t="array" ref="H4">IF(7&lt;=6,INDEX(Assumptions!$B$109:$G$109,7)*Assumptions!$B$65,Assumptions!$B$65)</f>
        <v>136</v>
      </c>
      <c r="I4" s="29" t="str">
        <f t="array" ref="I4">IF(8&lt;=6,INDEX(Assumptions!$B$109:$G$109,8)*Assumptions!$B$65,Assumptions!$B$65)</f>
        <v>136</v>
      </c>
      <c r="J4" s="29" t="str">
        <f t="array" ref="J4">IF(9&lt;=6,INDEX(Assumptions!$B$109:$G$109,9)*Assumptions!$B$65,Assumptions!$B$65)</f>
        <v>136</v>
      </c>
      <c r="K4" s="29" t="str">
        <f t="array" ref="K4">IF(10&lt;=6,INDEX(Assumptions!$B$109:$G$109,10)*Assumptions!$B$65,Assumptions!$B$65)</f>
        <v>136</v>
      </c>
      <c r="L4" s="29" t="str">
        <f t="array" ref="L4">IF(11&lt;=6,INDEX(Assumptions!$B$109:$G$109,11)*Assumptions!$B$65,Assumptions!$B$65)</f>
        <v>136</v>
      </c>
      <c r="M4" s="29" t="str">
        <f t="array" ref="M4">IF(12&lt;=6,INDEX(Assumptions!$B$109:$G$109,12)*Assumptions!$B$65,Assumptions!$B$65)</f>
        <v>136</v>
      </c>
      <c r="N4" s="30" t="str">
        <f t="shared" ref="N4:N6" si="1">AVERAGE(B4:M4)</f>
        <v>107.7</v>
      </c>
    </row>
    <row r="5" ht="15.0" customHeight="1">
      <c r="A5" s="2" t="s">
        <v>142</v>
      </c>
      <c r="B5" s="2" t="str">
        <f t="array" ref="B5">IF(1&lt;Assumptions!$B$71,0,IF(1-Assumptions!$B$71+1&lt;=6,INDEX(Assumptions!$B$109:$G$109,1-Assumptions!$B$71+1)*Assumptions!$B$69,Assumptions!$B$69))</f>
        <v>0</v>
      </c>
      <c r="C5" s="2" t="str">
        <f t="array" ref="C5">IF(2&lt;Assumptions!$B$71,0,IF(2-Assumptions!$B$71+1&lt;=6,INDEX(Assumptions!$B$109:$G$109,2-Assumptions!$B$71+1)*Assumptions!$B$69,Assumptions!$B$69))</f>
        <v>0</v>
      </c>
      <c r="D5" s="2" t="str">
        <f t="array" ref="D5">IF(3&lt;Assumptions!$B$71,0,IF(3-Assumptions!$B$71+1&lt;=6,INDEX(Assumptions!$B$109:$G$109,3-Assumptions!$B$71+1)*Assumptions!$B$69,Assumptions!$B$69))</f>
        <v>0</v>
      </c>
      <c r="E5" s="2" t="str">
        <f t="array" ref="E5">IF(4&lt;Assumptions!$B$71,0,IF(4-Assumptions!$B$71+1&lt;=6,INDEX(Assumptions!$B$109:$G$109,4-Assumptions!$B$71+1)*Assumptions!$B$69,Assumptions!$B$69))</f>
        <v>0</v>
      </c>
      <c r="F5" s="2" t="str">
        <f t="array" ref="F5">IF(5&lt;Assumptions!$B$71,0,IF(5-Assumptions!$B$71+1&lt;=6,INDEX(Assumptions!$B$109:$G$109,5-Assumptions!$B$71+1)*Assumptions!$B$69,Assumptions!$B$69))</f>
        <v>0</v>
      </c>
      <c r="G5" s="2" t="str">
        <f t="array" ref="G5">IF(6&lt;Assumptions!$B$71,0,IF(6-Assumptions!$B$71+1&lt;=6,INDEX(Assumptions!$B$109:$G$109,6-Assumptions!$B$71+1)*Assumptions!$B$69,Assumptions!$B$69))</f>
        <v>0</v>
      </c>
      <c r="H5" s="2" t="str">
        <f t="array" ref="H5">IF(7&lt;Assumptions!$B$71,0,IF(7-Assumptions!$B$71+1&lt;=6,INDEX(Assumptions!$B$109:$G$109,7-Assumptions!$B$71+1)*Assumptions!$B$69,Assumptions!$B$69))</f>
        <v>27.2</v>
      </c>
      <c r="I5" s="2" t="str">
        <f t="array" ref="I5">IF(8&lt;Assumptions!$B$71,0,IF(8-Assumptions!$B$71+1&lt;=6,INDEX(Assumptions!$B$109:$G$109,8-Assumptions!$B$71+1)*Assumptions!$B$69,Assumptions!$B$69))</f>
        <v>47.6</v>
      </c>
      <c r="J5" s="2" t="str">
        <f t="array" ref="J5">IF(9&lt;Assumptions!$B$71,0,IF(9-Assumptions!$B$71+1&lt;=6,INDEX(Assumptions!$B$109:$G$109,9-Assumptions!$B$71+1)*Assumptions!$B$69,Assumptions!$B$69))</f>
        <v>68</v>
      </c>
      <c r="K5" s="2" t="str">
        <f t="array" ref="K5">IF(10&lt;Assumptions!$B$71,0,IF(10-Assumptions!$B$71+1&lt;=6,INDEX(Assumptions!$B$109:$G$109,10-Assumptions!$B$71+1)*Assumptions!$B$69,Assumptions!$B$69))</f>
        <v>88.4</v>
      </c>
      <c r="L5" s="2" t="str">
        <f t="array" ref="L5">IF(11&lt;Assumptions!$B$71,0,IF(11-Assumptions!$B$71+1&lt;=6,INDEX(Assumptions!$B$109:$G$109,11-Assumptions!$B$71+1)*Assumptions!$B$69,Assumptions!$B$69))</f>
        <v>108.8</v>
      </c>
      <c r="M5" s="2" t="str">
        <f t="array" ref="M5">IF(12&lt;Assumptions!$B$71,0,IF(12-Assumptions!$B$71+1&lt;=6,INDEX(Assumptions!$B$109:$G$109,12-Assumptions!$B$71+1)*Assumptions!$B$69,Assumptions!$B$69))</f>
        <v>136</v>
      </c>
      <c r="N5" s="30" t="str">
        <f t="shared" si="1"/>
        <v>39.7</v>
      </c>
    </row>
    <row r="6" ht="15.0" customHeight="1">
      <c r="A6" s="9" t="s">
        <v>143</v>
      </c>
      <c r="B6" s="2" t="str">
        <f t="shared" ref="B6:M6" si="2">B4+B5</f>
        <v>27.2</v>
      </c>
      <c r="C6" s="2" t="str">
        <f t="shared" si="2"/>
        <v>47.6</v>
      </c>
      <c r="D6" s="2" t="str">
        <f t="shared" si="2"/>
        <v>68</v>
      </c>
      <c r="E6" s="2" t="str">
        <f t="shared" si="2"/>
        <v>88.4</v>
      </c>
      <c r="F6" s="2" t="str">
        <f t="shared" si="2"/>
        <v>108.8</v>
      </c>
      <c r="G6" s="2" t="str">
        <f t="shared" si="2"/>
        <v>136</v>
      </c>
      <c r="H6" s="29" t="str">
        <f t="shared" si="2"/>
        <v>163</v>
      </c>
      <c r="I6" s="29" t="str">
        <f t="shared" si="2"/>
        <v>184</v>
      </c>
      <c r="J6" s="29" t="str">
        <f t="shared" si="2"/>
        <v>204</v>
      </c>
      <c r="K6" s="29" t="str">
        <f t="shared" si="2"/>
        <v>224</v>
      </c>
      <c r="L6" s="29" t="str">
        <f t="shared" si="2"/>
        <v>245</v>
      </c>
      <c r="M6" s="29" t="str">
        <f t="shared" si="2"/>
        <v>272</v>
      </c>
      <c r="N6" s="30" t="str">
        <f t="shared" si="1"/>
        <v>147.3</v>
      </c>
    </row>
    <row r="7" ht="15.0" customHeight="1">
      <c r="A7" s="2" t="s">
        <v>144</v>
      </c>
      <c r="B7" s="2" t="str">
        <f>B6</f>
        <v>27.2</v>
      </c>
      <c r="C7" s="2" t="str">
        <f t="shared" ref="C7:M7" si="3">MAX(C6-B6,0)</f>
        <v>20.4</v>
      </c>
      <c r="D7" s="2" t="str">
        <f t="shared" si="3"/>
        <v>20.4</v>
      </c>
      <c r="E7" s="2" t="str">
        <f t="shared" si="3"/>
        <v>20.4</v>
      </c>
      <c r="F7" s="2" t="str">
        <f t="shared" si="3"/>
        <v>20.4</v>
      </c>
      <c r="G7" s="2" t="str">
        <f t="shared" si="3"/>
        <v>27.2</v>
      </c>
      <c r="H7" s="29" t="str">
        <f t="shared" si="3"/>
        <v>27</v>
      </c>
      <c r="I7" s="29" t="str">
        <f t="shared" si="3"/>
        <v>20</v>
      </c>
      <c r="J7" s="29" t="str">
        <f t="shared" si="3"/>
        <v>20</v>
      </c>
      <c r="K7" s="29" t="str">
        <f t="shared" si="3"/>
        <v>20</v>
      </c>
      <c r="L7" s="29" t="str">
        <f t="shared" si="3"/>
        <v>20</v>
      </c>
      <c r="M7" s="29" t="str">
        <f t="shared" si="3"/>
        <v>27</v>
      </c>
      <c r="N7" s="30" t="str">
        <f t="shared" ref="N7:N9" si="4">SUM(B7:M7)</f>
        <v>272.0</v>
      </c>
    </row>
    <row r="8" ht="15.0" customHeight="1">
      <c r="A8" s="2" t="s">
        <v>145</v>
      </c>
      <c r="B8" s="2" t="str">
        <f>B6*Assumptions!$B$98</f>
        <v>0.816</v>
      </c>
      <c r="C8" s="2" t="str">
        <f>C6*Assumptions!$B$98</f>
        <v>1.428</v>
      </c>
      <c r="D8" s="2" t="str">
        <f>D6*Assumptions!$B$98</f>
        <v>2.04</v>
      </c>
      <c r="E8" s="2" t="str">
        <f>E6*Assumptions!$B$98</f>
        <v>2.652</v>
      </c>
      <c r="F8" s="2" t="str">
        <f>F6*Assumptions!$B$98</f>
        <v>3.264</v>
      </c>
      <c r="G8" s="2" t="str">
        <f>G6*Assumptions!$B$98</f>
        <v>4.08</v>
      </c>
      <c r="H8" s="2" t="str">
        <f>H6*Assumptions!$B$98</f>
        <v>4.896</v>
      </c>
      <c r="I8" s="2" t="str">
        <f>I6*Assumptions!$B$98</f>
        <v>5.508</v>
      </c>
      <c r="J8" s="2" t="str">
        <f>J6*Assumptions!$B$98</f>
        <v>6.12</v>
      </c>
      <c r="K8" s="2" t="str">
        <f>K6*Assumptions!$B$98</f>
        <v>6.732</v>
      </c>
      <c r="L8" s="2" t="str">
        <f>L6*Assumptions!$B$98</f>
        <v>7.344</v>
      </c>
      <c r="M8" s="2" t="str">
        <f>M6*Assumptions!$B$98</f>
        <v>8.16</v>
      </c>
      <c r="N8" s="30" t="str">
        <f t="shared" si="4"/>
        <v>53.0</v>
      </c>
    </row>
    <row r="9" ht="15.0" customHeight="1">
      <c r="A9" s="9" t="s">
        <v>146</v>
      </c>
      <c r="B9" s="2" t="str">
        <f t="shared" ref="B9:M9" si="5">B7+B8</f>
        <v>28.016</v>
      </c>
      <c r="C9" s="2" t="str">
        <f t="shared" si="5"/>
        <v>21.828</v>
      </c>
      <c r="D9" s="2" t="str">
        <f t="shared" si="5"/>
        <v>22.44</v>
      </c>
      <c r="E9" s="2" t="str">
        <f t="shared" si="5"/>
        <v>23.052</v>
      </c>
      <c r="F9" s="2" t="str">
        <f t="shared" si="5"/>
        <v>23.664</v>
      </c>
      <c r="G9" s="2" t="str">
        <f t="shared" si="5"/>
        <v>31.28</v>
      </c>
      <c r="H9" s="29" t="str">
        <f t="shared" si="5"/>
        <v>32</v>
      </c>
      <c r="I9" s="29" t="str">
        <f t="shared" si="5"/>
        <v>26</v>
      </c>
      <c r="J9" s="29" t="str">
        <f t="shared" si="5"/>
        <v>27</v>
      </c>
      <c r="K9" s="29" t="str">
        <f t="shared" si="5"/>
        <v>27</v>
      </c>
      <c r="L9" s="29" t="str">
        <f t="shared" si="5"/>
        <v>28</v>
      </c>
      <c r="M9" s="29" t="str">
        <f t="shared" si="5"/>
        <v>35</v>
      </c>
      <c r="N9" s="30" t="str">
        <f t="shared" si="4"/>
        <v>325.0</v>
      </c>
    </row>
    <row r="10" ht="15.0" customHeight="1">
      <c r="A10" s="2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15.0" customHeight="1">
      <c r="A11" s="2" t="s">
        <v>147</v>
      </c>
      <c r="B11" s="5" t="str">
        <f>B6*'Unit Economics'!$B$20</f>
        <v>$2,258</v>
      </c>
      <c r="C11" s="5" t="str">
        <f>C6*'Unit Economics'!$B$20</f>
        <v>$3,952</v>
      </c>
      <c r="D11" s="5" t="str">
        <f>D6*'Unit Economics'!$B$20</f>
        <v>$5,645</v>
      </c>
      <c r="E11" s="5" t="str">
        <f>E6*'Unit Economics'!$B$20</f>
        <v>$7,339</v>
      </c>
      <c r="F11" s="5" t="str">
        <f>F6*'Unit Economics'!$B$20</f>
        <v>$9,033</v>
      </c>
      <c r="G11" s="5" t="str">
        <f>G6*'Unit Economics'!$B$20</f>
        <v>$11,291</v>
      </c>
      <c r="H11" s="5" t="str">
        <f>H6*'Unit Economics'!$B$20</f>
        <v>$13,549</v>
      </c>
      <c r="I11" s="5" t="str">
        <f>I6*'Unit Economics'!$B$20</f>
        <v>$15,242</v>
      </c>
      <c r="J11" s="5" t="str">
        <f>J6*'Unit Economics'!$B$20</f>
        <v>$16,936</v>
      </c>
      <c r="K11" s="5" t="str">
        <f>K6*'Unit Economics'!$B$20</f>
        <v>$18,630</v>
      </c>
      <c r="L11" s="5" t="str">
        <f>L6*'Unit Economics'!$B$20</f>
        <v>$20,323</v>
      </c>
      <c r="M11" s="5" t="str">
        <f>M6*'Unit Economics'!$B$20</f>
        <v>$22,581</v>
      </c>
      <c r="N11" s="5" t="str">
        <f t="shared" ref="N11:N16" si="6">SUM(B11:M11)</f>
        <v>$146,779</v>
      </c>
    </row>
    <row r="12" ht="15.0" customHeight="1">
      <c r="A12" s="2" t="s">
        <v>148</v>
      </c>
      <c r="B12" s="5" t="str">
        <f>B9*'Unit Economics'!$B$21</f>
        <v>$2,762</v>
      </c>
      <c r="C12" s="5" t="str">
        <f>C9*'Unit Economics'!$B$21</f>
        <v>$2,152</v>
      </c>
      <c r="D12" s="5" t="str">
        <f>D9*'Unit Economics'!$B$21</f>
        <v>$2,212</v>
      </c>
      <c r="E12" s="5" t="str">
        <f>E9*'Unit Economics'!$B$21</f>
        <v>$2,272</v>
      </c>
      <c r="F12" s="5" t="str">
        <f>F9*'Unit Economics'!$B$21</f>
        <v>$2,333</v>
      </c>
      <c r="G12" s="5" t="str">
        <f>G9*'Unit Economics'!$B$21</f>
        <v>$3,083</v>
      </c>
      <c r="H12" s="5" t="str">
        <f>H9*'Unit Economics'!$B$21</f>
        <v>$3,164</v>
      </c>
      <c r="I12" s="5" t="str">
        <f>I9*'Unit Economics'!$B$21</f>
        <v>$2,554</v>
      </c>
      <c r="J12" s="5" t="str">
        <f>J9*'Unit Economics'!$B$21</f>
        <v>$2,614</v>
      </c>
      <c r="K12" s="5" t="str">
        <f>K9*'Unit Economics'!$B$21</f>
        <v>$2,675</v>
      </c>
      <c r="L12" s="5" t="str">
        <f>L9*'Unit Economics'!$B$21</f>
        <v>$2,735</v>
      </c>
      <c r="M12" s="5" t="str">
        <f>M9*'Unit Economics'!$B$21</f>
        <v>$3,486</v>
      </c>
      <c r="N12" s="5" t="str">
        <f t="shared" si="6"/>
        <v>$32,041</v>
      </c>
    </row>
    <row r="13" ht="15.0" customHeight="1">
      <c r="A13" s="2" t="s">
        <v>149</v>
      </c>
      <c r="B13" s="5" t="str">
        <f>B9*Assumptions!$B$46</f>
        <v>$6,129</v>
      </c>
      <c r="C13" s="5" t="str">
        <f>C9*Assumptions!$B$46</f>
        <v>$4,775</v>
      </c>
      <c r="D13" s="5" t="str">
        <f>D9*Assumptions!$B$46</f>
        <v>$4,909</v>
      </c>
      <c r="E13" s="5" t="str">
        <f>E9*Assumptions!$B$46</f>
        <v>$5,043</v>
      </c>
      <c r="F13" s="5" t="str">
        <f>F9*Assumptions!$B$46</f>
        <v>$5,177</v>
      </c>
      <c r="G13" s="5" t="str">
        <f>G9*Assumptions!$B$46</f>
        <v>$6,843</v>
      </c>
      <c r="H13" s="5" t="str">
        <f>H9*Assumptions!$B$46</f>
        <v>$7,021</v>
      </c>
      <c r="I13" s="5" t="str">
        <f>I9*Assumptions!$B$46</f>
        <v>$5,667</v>
      </c>
      <c r="J13" s="5" t="str">
        <f>J9*Assumptions!$B$46</f>
        <v>$5,801</v>
      </c>
      <c r="K13" s="5" t="str">
        <f>K9*Assumptions!$B$46</f>
        <v>$5,935</v>
      </c>
      <c r="L13" s="5" t="str">
        <f>L9*Assumptions!$B$46</f>
        <v>$6,069</v>
      </c>
      <c r="M13" s="5" t="str">
        <f>M9*Assumptions!$B$46</f>
        <v>$7,735</v>
      </c>
      <c r="N13" s="5" t="str">
        <f t="shared" si="6"/>
        <v>$71,103</v>
      </c>
    </row>
    <row r="14" ht="15.0" customHeight="1">
      <c r="A14" s="9" t="s">
        <v>150</v>
      </c>
      <c r="B14" s="5" t="str">
        <f>B9*Assumptions!$B$112*Assumptions!$B$113</f>
        <v>$210</v>
      </c>
      <c r="C14" s="5" t="str">
        <f>C9*Assumptions!$B$112*Assumptions!$B$113</f>
        <v>$164</v>
      </c>
      <c r="D14" s="5" t="str">
        <f>D9*Assumptions!$B$112*Assumptions!$B$113</f>
        <v>$168</v>
      </c>
      <c r="E14" s="5" t="str">
        <f>E9*Assumptions!$B$112*Assumptions!$B$113</f>
        <v>$173</v>
      </c>
      <c r="F14" s="5" t="str">
        <f>F9*Assumptions!$B$112*Assumptions!$B$113</f>
        <v>$177</v>
      </c>
      <c r="G14" s="5" t="str">
        <f>G9*Assumptions!$B$112*Assumptions!$B$113</f>
        <v>$235</v>
      </c>
      <c r="H14" s="5" t="str">
        <f>H9*Assumptions!$B$112*Assumptions!$B$113</f>
        <v>$241</v>
      </c>
      <c r="I14" s="5" t="str">
        <f>I9*Assumptions!$B$112*Assumptions!$B$113</f>
        <v>$194</v>
      </c>
      <c r="J14" s="5" t="str">
        <f>J9*Assumptions!$B$112*Assumptions!$B$113</f>
        <v>$199</v>
      </c>
      <c r="K14" s="5" t="str">
        <f>K9*Assumptions!$B$112*Assumptions!$B$113</f>
        <v>$203</v>
      </c>
      <c r="L14" s="5" t="str">
        <f>L9*Assumptions!$B$112*Assumptions!$B$113</f>
        <v>$208</v>
      </c>
      <c r="M14" s="5" t="str">
        <f>M9*Assumptions!$B$112*Assumptions!$B$113</f>
        <v>$265</v>
      </c>
      <c r="N14" s="5" t="str">
        <f t="shared" si="6"/>
        <v>$2,438</v>
      </c>
    </row>
    <row r="15" ht="15.0" customHeight="1">
      <c r="A15" s="2" t="s">
        <v>151</v>
      </c>
      <c r="B15" s="5" t="str">
        <f>B9*Assumptions!$B$112*Assumptions!$B$38</f>
        <v>$210</v>
      </c>
      <c r="C15" s="5" t="str">
        <f>C9*Assumptions!$B$112*Assumptions!$B$38</f>
        <v>$164</v>
      </c>
      <c r="D15" s="5" t="str">
        <f>D9*Assumptions!$B$112*Assumptions!$B$38</f>
        <v>$168</v>
      </c>
      <c r="E15" s="5" t="str">
        <f>E9*Assumptions!$B$112*Assumptions!$B$38</f>
        <v>$173</v>
      </c>
      <c r="F15" s="5" t="str">
        <f>F9*Assumptions!$B$112*Assumptions!$B$38</f>
        <v>$177</v>
      </c>
      <c r="G15" s="5" t="str">
        <f>G9*Assumptions!$B$112*Assumptions!$B$38</f>
        <v>$235</v>
      </c>
      <c r="H15" s="5" t="str">
        <f>H9*Assumptions!$B$112*Assumptions!$B$38</f>
        <v>$241</v>
      </c>
      <c r="I15" s="5" t="str">
        <f>I9*Assumptions!$B$112*Assumptions!$B$38</f>
        <v>$194</v>
      </c>
      <c r="J15" s="5" t="str">
        <f>J9*Assumptions!$B$112*Assumptions!$B$38</f>
        <v>$199</v>
      </c>
      <c r="K15" s="5" t="str">
        <f>K9*Assumptions!$B$112*Assumptions!$B$38</f>
        <v>$203</v>
      </c>
      <c r="L15" s="5" t="str">
        <f>L9*Assumptions!$B$112*Assumptions!$B$38</f>
        <v>$208</v>
      </c>
      <c r="M15" s="5" t="str">
        <f>M9*Assumptions!$B$112*Assumptions!$B$38</f>
        <v>$265</v>
      </c>
      <c r="N15" s="5" t="str">
        <f t="shared" si="6"/>
        <v>$2,438</v>
      </c>
    </row>
    <row r="16" ht="15.0" customHeight="1">
      <c r="A16" s="9" t="s">
        <v>15</v>
      </c>
      <c r="B16" s="5" t="str">
        <f t="shared" ref="B16:M16" si="7">SUM(B11:B15)</f>
        <v>$11,569</v>
      </c>
      <c r="C16" s="5" t="str">
        <f t="shared" si="7"/>
        <v>$11,206</v>
      </c>
      <c r="D16" s="5" t="str">
        <f t="shared" si="7"/>
        <v>$13,103</v>
      </c>
      <c r="E16" s="5" t="str">
        <f t="shared" si="7"/>
        <v>$15,000</v>
      </c>
      <c r="F16" s="5" t="str">
        <f t="shared" si="7"/>
        <v>$16,897</v>
      </c>
      <c r="G16" s="5" t="str">
        <f t="shared" si="7"/>
        <v>$21,686</v>
      </c>
      <c r="H16" s="5" t="str">
        <f t="shared" si="7"/>
        <v>$24,215</v>
      </c>
      <c r="I16" s="5" t="str">
        <f t="shared" si="7"/>
        <v>$23,852</v>
      </c>
      <c r="J16" s="5" t="str">
        <f t="shared" si="7"/>
        <v>$25,749</v>
      </c>
      <c r="K16" s="5" t="str">
        <f t="shared" si="7"/>
        <v>$27,646</v>
      </c>
      <c r="L16" s="5" t="str">
        <f t="shared" si="7"/>
        <v>$29,543</v>
      </c>
      <c r="M16" s="5" t="str">
        <f t="shared" si="7"/>
        <v>$34,332</v>
      </c>
      <c r="N16" s="5" t="str">
        <f t="shared" si="6"/>
        <v>$254,798</v>
      </c>
    </row>
    <row r="17" ht="15.0" customHeight="1">
      <c r="A17" s="2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ht="15.0" customHeight="1">
      <c r="A18" s="2" t="s">
        <v>152</v>
      </c>
      <c r="B18" s="5" t="str">
        <f>B9*Assumptions!$B$74*2</f>
        <v>$280</v>
      </c>
      <c r="C18" s="5" t="str">
        <f>C9*Assumptions!$B$74*2</f>
        <v>$218</v>
      </c>
      <c r="D18" s="5" t="str">
        <f>D9*Assumptions!$B$74*2</f>
        <v>$224</v>
      </c>
      <c r="E18" s="5" t="str">
        <f>E9*Assumptions!$B$74*2</f>
        <v>$231</v>
      </c>
      <c r="F18" s="5" t="str">
        <f>F9*Assumptions!$B$74*2</f>
        <v>$237</v>
      </c>
      <c r="G18" s="5" t="str">
        <f>G9*Assumptions!$B$74*2</f>
        <v>$313</v>
      </c>
      <c r="H18" s="5" t="str">
        <f>H9*Assumptions!$B$74*2</f>
        <v>$321</v>
      </c>
      <c r="I18" s="5" t="str">
        <f>I9*Assumptions!$B$74*2</f>
        <v>$259</v>
      </c>
      <c r="J18" s="5" t="str">
        <f>J9*Assumptions!$B$74*2</f>
        <v>$265</v>
      </c>
      <c r="K18" s="5" t="str">
        <f>K9*Assumptions!$B$74*2</f>
        <v>$271</v>
      </c>
      <c r="L18" s="5" t="str">
        <f>L9*Assumptions!$B$74*2</f>
        <v>$277</v>
      </c>
      <c r="M18" s="5" t="str">
        <f>M9*Assumptions!$B$74*2</f>
        <v>$354</v>
      </c>
      <c r="N18" s="5" t="str">
        <f t="shared" ref="N18:N24" si="8">SUM(B18:M18)</f>
        <v>$3,250</v>
      </c>
    </row>
    <row r="19" ht="15.0" customHeight="1">
      <c r="A19" s="2" t="s">
        <v>153</v>
      </c>
      <c r="B19" s="5" t="str">
        <f>MAX(B6-272,0)*Assumptions!$B$73</f>
        <v>-</v>
      </c>
      <c r="C19" s="5" t="str">
        <f>MAX(C6-272,0)*Assumptions!$B$73</f>
        <v>-</v>
      </c>
      <c r="D19" s="5" t="str">
        <f>MAX(D6-272,0)*Assumptions!$B$73</f>
        <v>-</v>
      </c>
      <c r="E19" s="5" t="str">
        <f>MAX(E6-272,0)*Assumptions!$B$73</f>
        <v>-</v>
      </c>
      <c r="F19" s="5" t="str">
        <f>MAX(F6-272,0)*Assumptions!$B$73</f>
        <v>-</v>
      </c>
      <c r="G19" s="5" t="str">
        <f>MAX(G6-272,0)*Assumptions!$B$73</f>
        <v>-</v>
      </c>
      <c r="H19" s="5" t="str">
        <f>MAX(H6-272,0)*Assumptions!$B$73</f>
        <v>-</v>
      </c>
      <c r="I19" s="5" t="str">
        <f>MAX(I6-272,0)*Assumptions!$B$73</f>
        <v>-</v>
      </c>
      <c r="J19" s="5" t="str">
        <f>MAX(J6-272,0)*Assumptions!$B$73</f>
        <v>-</v>
      </c>
      <c r="K19" s="5" t="str">
        <f>MAX(K6-272,0)*Assumptions!$B$73</f>
        <v>-</v>
      </c>
      <c r="L19" s="5" t="str">
        <f>MAX(L6-272,0)*Assumptions!$B$73</f>
        <v>-</v>
      </c>
      <c r="M19" s="5" t="str">
        <f>MAX(M6-272,0)*Assumptions!$B$73</f>
        <v>-</v>
      </c>
      <c r="N19" s="5" t="str">
        <f t="shared" si="8"/>
        <v>-</v>
      </c>
    </row>
    <row r="20" ht="15.0" customHeight="1">
      <c r="A20" s="9" t="s">
        <v>154</v>
      </c>
      <c r="B20" s="5" t="str">
        <f>B9*Assumptions!$C$46</f>
        <v>$4,202</v>
      </c>
      <c r="C20" s="5" t="str">
        <f>C9*Assumptions!$C$46</f>
        <v>$3,274</v>
      </c>
      <c r="D20" s="5" t="str">
        <f>D9*Assumptions!$C$46</f>
        <v>$3,366</v>
      </c>
      <c r="E20" s="5" t="str">
        <f>E9*Assumptions!$C$46</f>
        <v>$3,458</v>
      </c>
      <c r="F20" s="5" t="str">
        <f>F9*Assumptions!$C$46</f>
        <v>$3,550</v>
      </c>
      <c r="G20" s="5" t="str">
        <f>G9*Assumptions!$C$46</f>
        <v>$4,692</v>
      </c>
      <c r="H20" s="5" t="str">
        <f>H9*Assumptions!$C$46</f>
        <v>$4,814</v>
      </c>
      <c r="I20" s="5" t="str">
        <f>I9*Assumptions!$C$46</f>
        <v>$3,886</v>
      </c>
      <c r="J20" s="5" t="str">
        <f>J9*Assumptions!$C$46</f>
        <v>$3,978</v>
      </c>
      <c r="K20" s="5" t="str">
        <f>K9*Assumptions!$C$46</f>
        <v>$4,070</v>
      </c>
      <c r="L20" s="5" t="str">
        <f>L9*Assumptions!$C$46</f>
        <v>$4,162</v>
      </c>
      <c r="M20" s="5" t="str">
        <f>M9*Assumptions!$C$46</f>
        <v>$5,304</v>
      </c>
      <c r="N20" s="5" t="str">
        <f t="shared" si="8"/>
        <v>$48,756</v>
      </c>
    </row>
    <row r="21" ht="15.0" customHeight="1">
      <c r="A21" s="9" t="s">
        <v>155</v>
      </c>
      <c r="B21" s="5" t="str">
        <f>B14*(1-Assumptions!$B$61)</f>
        <v>$91</v>
      </c>
      <c r="C21" s="5" t="str">
        <f>C14*(1-Assumptions!$B$61)</f>
        <v>$71</v>
      </c>
      <c r="D21" s="5" t="str">
        <f>D14*(1-Assumptions!$B$61)</f>
        <v>$73</v>
      </c>
      <c r="E21" s="5" t="str">
        <f>E14*(1-Assumptions!$B$61)</f>
        <v>$75</v>
      </c>
      <c r="F21" s="5" t="str">
        <f>F14*(1-Assumptions!$B$61)</f>
        <v>$77</v>
      </c>
      <c r="G21" s="5" t="str">
        <f>G14*(1-Assumptions!$B$61)</f>
        <v>$102</v>
      </c>
      <c r="H21" s="5" t="str">
        <f>H14*(1-Assumptions!$B$61)</f>
        <v>$105</v>
      </c>
      <c r="I21" s="5" t="str">
        <f>I14*(1-Assumptions!$B$61)</f>
        <v>$84</v>
      </c>
      <c r="J21" s="5" t="str">
        <f>J14*(1-Assumptions!$B$61)</f>
        <v>$86</v>
      </c>
      <c r="K21" s="5" t="str">
        <f>K14*(1-Assumptions!$B$61)</f>
        <v>$88</v>
      </c>
      <c r="L21" s="5" t="str">
        <f>L14*(1-Assumptions!$B$61)</f>
        <v>$90</v>
      </c>
      <c r="M21" s="5" t="str">
        <f>M14*(1-Assumptions!$B$61)</f>
        <v>$115</v>
      </c>
      <c r="N21" s="5" t="str">
        <f t="shared" si="8"/>
        <v>$1,059</v>
      </c>
    </row>
    <row r="22" ht="15.0" customHeight="1">
      <c r="A22" s="2" t="s">
        <v>156</v>
      </c>
      <c r="B22" s="5" t="str">
        <f t="shared" ref="B22:M22" si="9">0</f>
        <v>-</v>
      </c>
      <c r="C22" s="5" t="str">
        <f t="shared" si="9"/>
        <v>-</v>
      </c>
      <c r="D22" s="5" t="str">
        <f t="shared" si="9"/>
        <v>-</v>
      </c>
      <c r="E22" s="5" t="str">
        <f t="shared" si="9"/>
        <v>-</v>
      </c>
      <c r="F22" s="5" t="str">
        <f t="shared" si="9"/>
        <v>-</v>
      </c>
      <c r="G22" s="5" t="str">
        <f t="shared" si="9"/>
        <v>-</v>
      </c>
      <c r="H22" s="5" t="str">
        <f t="shared" si="9"/>
        <v>-</v>
      </c>
      <c r="I22" s="5" t="str">
        <f t="shared" si="9"/>
        <v>-</v>
      </c>
      <c r="J22" s="5" t="str">
        <f t="shared" si="9"/>
        <v>-</v>
      </c>
      <c r="K22" s="5" t="str">
        <f t="shared" si="9"/>
        <v>-</v>
      </c>
      <c r="L22" s="5" t="str">
        <f t="shared" si="9"/>
        <v>-</v>
      </c>
      <c r="M22" s="5" t="str">
        <f t="shared" si="9"/>
        <v>-</v>
      </c>
      <c r="N22" s="5" t="str">
        <f t="shared" si="8"/>
        <v>-</v>
      </c>
    </row>
    <row r="23" ht="15.0" customHeight="1">
      <c r="A23" s="9" t="s">
        <v>157</v>
      </c>
      <c r="B23" s="5" t="str">
        <f t="shared" ref="B23:M23" si="10">SUM(B18:B22)</f>
        <v>$4,574</v>
      </c>
      <c r="C23" s="5" t="str">
        <f t="shared" si="10"/>
        <v>$3,564</v>
      </c>
      <c r="D23" s="5" t="str">
        <f t="shared" si="10"/>
        <v>$3,664</v>
      </c>
      <c r="E23" s="5" t="str">
        <f t="shared" si="10"/>
        <v>$3,763</v>
      </c>
      <c r="F23" s="5" t="str">
        <f t="shared" si="10"/>
        <v>$3,863</v>
      </c>
      <c r="G23" s="5" t="str">
        <f t="shared" si="10"/>
        <v>$5,107</v>
      </c>
      <c r="H23" s="5" t="str">
        <f t="shared" si="10"/>
        <v>$5,240</v>
      </c>
      <c r="I23" s="5" t="str">
        <f t="shared" si="10"/>
        <v>$4,230</v>
      </c>
      <c r="J23" s="5" t="str">
        <f t="shared" si="10"/>
        <v>$4,330</v>
      </c>
      <c r="K23" s="5" t="str">
        <f t="shared" si="10"/>
        <v>$4,430</v>
      </c>
      <c r="L23" s="5" t="str">
        <f t="shared" si="10"/>
        <v>$4,529</v>
      </c>
      <c r="M23" s="5" t="str">
        <f t="shared" si="10"/>
        <v>$5,773</v>
      </c>
      <c r="N23" s="5" t="str">
        <f t="shared" si="8"/>
        <v>$53,065</v>
      </c>
    </row>
    <row r="24" ht="15.0" customHeight="1">
      <c r="A24" s="9" t="s">
        <v>16</v>
      </c>
      <c r="B24" s="5" t="str">
        <f t="shared" ref="B24:M24" si="11">B16-B23</f>
        <v>$6,995</v>
      </c>
      <c r="C24" s="5" t="str">
        <f t="shared" si="11"/>
        <v>$7,642</v>
      </c>
      <c r="D24" s="5" t="str">
        <f t="shared" si="11"/>
        <v>$9,439</v>
      </c>
      <c r="E24" s="5" t="str">
        <f t="shared" si="11"/>
        <v>$11,236</v>
      </c>
      <c r="F24" s="5" t="str">
        <f t="shared" si="11"/>
        <v>$13,033</v>
      </c>
      <c r="G24" s="5" t="str">
        <f t="shared" si="11"/>
        <v>$16,579</v>
      </c>
      <c r="H24" s="5" t="str">
        <f t="shared" si="11"/>
        <v>$18,975</v>
      </c>
      <c r="I24" s="5" t="str">
        <f t="shared" si="11"/>
        <v>$19,623</v>
      </c>
      <c r="J24" s="5" t="str">
        <f t="shared" si="11"/>
        <v>$21,420</v>
      </c>
      <c r="K24" s="5" t="str">
        <f t="shared" si="11"/>
        <v>$23,217</v>
      </c>
      <c r="L24" s="5" t="str">
        <f t="shared" si="11"/>
        <v>$25,014</v>
      </c>
      <c r="M24" s="5" t="str">
        <f t="shared" si="11"/>
        <v>$28,560</v>
      </c>
      <c r="N24" s="5" t="str">
        <f t="shared" si="8"/>
        <v>$201,733</v>
      </c>
    </row>
    <row r="25" ht="15.0" customHeight="1">
      <c r="A25" s="2" t="s">
        <v>158</v>
      </c>
      <c r="B25" s="6" t="str">
        <f t="shared" ref="B25:N25" si="12">IFERROR(B24/B16,0)</f>
        <v>60.5%</v>
      </c>
      <c r="C25" s="6" t="str">
        <f t="shared" si="12"/>
        <v>68.2%</v>
      </c>
      <c r="D25" s="6" t="str">
        <f t="shared" si="12"/>
        <v>72.0%</v>
      </c>
      <c r="E25" s="6" t="str">
        <f t="shared" si="12"/>
        <v>74.9%</v>
      </c>
      <c r="F25" s="6" t="str">
        <f t="shared" si="12"/>
        <v>77.1%</v>
      </c>
      <c r="G25" s="6" t="str">
        <f t="shared" si="12"/>
        <v>76.5%</v>
      </c>
      <c r="H25" s="6" t="str">
        <f t="shared" si="12"/>
        <v>78.4%</v>
      </c>
      <c r="I25" s="6" t="str">
        <f t="shared" si="12"/>
        <v>82.3%</v>
      </c>
      <c r="J25" s="6" t="str">
        <f t="shared" si="12"/>
        <v>83.2%</v>
      </c>
      <c r="K25" s="6" t="str">
        <f t="shared" si="12"/>
        <v>84.0%</v>
      </c>
      <c r="L25" s="6" t="str">
        <f t="shared" si="12"/>
        <v>84.7%</v>
      </c>
      <c r="M25" s="6" t="str">
        <f t="shared" si="12"/>
        <v>83.2%</v>
      </c>
      <c r="N25" s="6" t="str">
        <f t="shared" si="12"/>
        <v>79.2%</v>
      </c>
    </row>
    <row r="26" ht="15.0" customHeight="1">
      <c r="A26" s="2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ht="15.0" customHeight="1">
      <c r="A27" s="2" t="s">
        <v>159</v>
      </c>
      <c r="B27" s="5" t="str">
        <f>Assumptions!$B$66+IF(1&gt;=Assumptions!$B$71,Assumptions!$B$70,0)</f>
        <v>$3,000</v>
      </c>
      <c r="C27" s="5" t="str">
        <f>Assumptions!$B$66+IF(2&gt;=Assumptions!$B$71,Assumptions!$B$70,0)</f>
        <v>$3,000</v>
      </c>
      <c r="D27" s="5" t="str">
        <f>Assumptions!$B$66+IF(3&gt;=Assumptions!$B$71,Assumptions!$B$70,0)</f>
        <v>$3,000</v>
      </c>
      <c r="E27" s="5" t="str">
        <f>Assumptions!$B$66+IF(4&gt;=Assumptions!$B$71,Assumptions!$B$70,0)</f>
        <v>$3,000</v>
      </c>
      <c r="F27" s="5" t="str">
        <f>Assumptions!$B$66+IF(5&gt;=Assumptions!$B$71,Assumptions!$B$70,0)</f>
        <v>$3,000</v>
      </c>
      <c r="G27" s="5" t="str">
        <f>Assumptions!$B$66+IF(6&gt;=Assumptions!$B$71,Assumptions!$B$70,0)</f>
        <v>$3,000</v>
      </c>
      <c r="H27" s="5" t="str">
        <f>Assumptions!$B$66+IF(7&gt;=Assumptions!$B$71,Assumptions!$B$70,0)</f>
        <v>$6,000</v>
      </c>
      <c r="I27" s="5" t="str">
        <f>Assumptions!$B$66+IF(8&gt;=Assumptions!$B$71,Assumptions!$B$70,0)</f>
        <v>$6,000</v>
      </c>
      <c r="J27" s="5" t="str">
        <f>Assumptions!$B$66+IF(9&gt;=Assumptions!$B$71,Assumptions!$B$70,0)</f>
        <v>$6,000</v>
      </c>
      <c r="K27" s="5" t="str">
        <f>Assumptions!$B$66+IF(10&gt;=Assumptions!$B$71,Assumptions!$B$70,0)</f>
        <v>$6,000</v>
      </c>
      <c r="L27" s="5" t="str">
        <f>Assumptions!$B$66+IF(11&gt;=Assumptions!$B$71,Assumptions!$B$70,0)</f>
        <v>$6,000</v>
      </c>
      <c r="M27" s="5" t="str">
        <f>Assumptions!$B$66+IF(12&gt;=Assumptions!$B$71,Assumptions!$B$70,0)</f>
        <v>$6,000</v>
      </c>
      <c r="N27" s="5" t="str">
        <f t="shared" ref="N27:N38" si="13">SUM(B27:M27)</f>
        <v>$54,000</v>
      </c>
    </row>
    <row r="28" ht="15.0" customHeight="1">
      <c r="A28" s="2" t="s">
        <v>160</v>
      </c>
      <c r="B28" s="5" t="str">
        <f>Assumptions!$B$87</f>
        <v>$3,000</v>
      </c>
      <c r="C28" s="5" t="str">
        <f>Assumptions!$B$87</f>
        <v>$3,000</v>
      </c>
      <c r="D28" s="5" t="str">
        <f>Assumptions!$B$87</f>
        <v>$3,000</v>
      </c>
      <c r="E28" s="5" t="str">
        <f>Assumptions!$B$87</f>
        <v>$3,000</v>
      </c>
      <c r="F28" s="5" t="str">
        <f>Assumptions!$B$87</f>
        <v>$3,000</v>
      </c>
      <c r="G28" s="5" t="str">
        <f>Assumptions!$B$87</f>
        <v>$3,000</v>
      </c>
      <c r="H28" s="5" t="str">
        <f>Assumptions!$B$87</f>
        <v>$3,000</v>
      </c>
      <c r="I28" s="5" t="str">
        <f>Assumptions!$B$87</f>
        <v>$3,000</v>
      </c>
      <c r="J28" s="5" t="str">
        <f>Assumptions!$B$87</f>
        <v>$3,000</v>
      </c>
      <c r="K28" s="5" t="str">
        <f>Assumptions!$B$87</f>
        <v>$3,000</v>
      </c>
      <c r="L28" s="5" t="str">
        <f>Assumptions!$B$87</f>
        <v>$3,000</v>
      </c>
      <c r="M28" s="5" t="str">
        <f>Assumptions!$B$87</f>
        <v>$3,000</v>
      </c>
      <c r="N28" s="5" t="str">
        <f t="shared" si="13"/>
        <v>$36,000</v>
      </c>
    </row>
    <row r="29" ht="15.0" customHeight="1">
      <c r="A29" s="2" t="s">
        <v>161</v>
      </c>
      <c r="B29" s="5" t="str">
        <f>Assumptions!$B$120</f>
        <v>$2,000</v>
      </c>
      <c r="C29" s="5" t="str">
        <f>Assumptions!$B$120</f>
        <v>$2,000</v>
      </c>
      <c r="D29" s="5" t="str">
        <f>Assumptions!$B$120</f>
        <v>$2,000</v>
      </c>
      <c r="E29" s="5" t="str">
        <f>Assumptions!$B$120</f>
        <v>$2,000</v>
      </c>
      <c r="F29" s="5" t="str">
        <f>Assumptions!$B$120</f>
        <v>$2,000</v>
      </c>
      <c r="G29" s="5" t="str">
        <f>Assumptions!$B$120</f>
        <v>$2,000</v>
      </c>
      <c r="H29" s="5" t="str">
        <f>Assumptions!$B$120</f>
        <v>$2,000</v>
      </c>
      <c r="I29" s="5" t="str">
        <f>Assumptions!$B$120</f>
        <v>$2,000</v>
      </c>
      <c r="J29" s="5" t="str">
        <f>Assumptions!$B$120</f>
        <v>$2,000</v>
      </c>
      <c r="K29" s="5" t="str">
        <f>Assumptions!$B$120</f>
        <v>$2,000</v>
      </c>
      <c r="L29" s="5" t="str">
        <f>Assumptions!$B$120</f>
        <v>$2,000</v>
      </c>
      <c r="M29" s="5" t="str">
        <f>Assumptions!$B$120</f>
        <v>$2,000</v>
      </c>
      <c r="N29" s="5" t="str">
        <f t="shared" si="13"/>
        <v>$24,000</v>
      </c>
    </row>
    <row r="30" ht="15.0" customHeight="1">
      <c r="A30" s="2" t="s">
        <v>162</v>
      </c>
      <c r="B30" s="5" t="str">
        <f>Assumptions!$B$78+Assumptions!$B$79+B16*Assumptions!$B$80+B16*Assumptions!$B$84*Assumptions!$B$82</f>
        <v>$2,963</v>
      </c>
      <c r="C30" s="5" t="str">
        <f>Assumptions!$B$78+Assumptions!$B$79+C16*Assumptions!$B$80+C16*Assumptions!$B$84*Assumptions!$B$82</f>
        <v>$2,948</v>
      </c>
      <c r="D30" s="5" t="str">
        <f>Assumptions!$B$78+Assumptions!$B$79+D16*Assumptions!$B$80+D16*Assumptions!$B$84*Assumptions!$B$82</f>
        <v>$3,024</v>
      </c>
      <c r="E30" s="5" t="str">
        <f>Assumptions!$B$78+Assumptions!$B$79+E16*Assumptions!$B$80+E16*Assumptions!$B$84*Assumptions!$B$82</f>
        <v>$3,100</v>
      </c>
      <c r="F30" s="5" t="str">
        <f>Assumptions!$B$78+Assumptions!$B$79+F16*Assumptions!$B$80+F16*Assumptions!$B$84*Assumptions!$B$82</f>
        <v>$3,176</v>
      </c>
      <c r="G30" s="5" t="str">
        <f>Assumptions!$B$78+Assumptions!$B$79+G16*Assumptions!$B$80+G16*Assumptions!$B$84*Assumptions!$B$82</f>
        <v>$3,367</v>
      </c>
      <c r="H30" s="5" t="str">
        <f>Assumptions!$B$78+Assumptions!$B$79+H16*Assumptions!$B$80+H16*Assumptions!$B$84*Assumptions!$B$82</f>
        <v>$3,469</v>
      </c>
      <c r="I30" s="5" t="str">
        <f>Assumptions!$B$78+Assumptions!$B$79+I16*Assumptions!$B$80+I16*Assumptions!$B$84*Assumptions!$B$82</f>
        <v>$3,454</v>
      </c>
      <c r="J30" s="5" t="str">
        <f>Assumptions!$B$78+Assumptions!$B$79+J16*Assumptions!$B$80+J16*Assumptions!$B$84*Assumptions!$B$82</f>
        <v>$3,530</v>
      </c>
      <c r="K30" s="5" t="str">
        <f>Assumptions!$B$78+Assumptions!$B$79+K16*Assumptions!$B$80+K16*Assumptions!$B$84*Assumptions!$B$82</f>
        <v>$3,606</v>
      </c>
      <c r="L30" s="5" t="str">
        <f>Assumptions!$B$78+Assumptions!$B$79+L16*Assumptions!$B$80+L16*Assumptions!$B$84*Assumptions!$B$82</f>
        <v>$3,682</v>
      </c>
      <c r="M30" s="5" t="str">
        <f>Assumptions!$B$78+Assumptions!$B$79+M16*Assumptions!$B$80+M16*Assumptions!$B$84*Assumptions!$B$82</f>
        <v>$3,873</v>
      </c>
      <c r="N30" s="5" t="str">
        <f t="shared" si="13"/>
        <v>$40,192</v>
      </c>
    </row>
    <row r="31" ht="15.0" customHeight="1">
      <c r="A31" s="2" t="s">
        <v>163</v>
      </c>
      <c r="B31" s="5" t="str">
        <f t="shared" ref="B31:M31" si="14">0</f>
        <v>-</v>
      </c>
      <c r="C31" s="5" t="str">
        <f t="shared" si="14"/>
        <v>-</v>
      </c>
      <c r="D31" s="5" t="str">
        <f t="shared" si="14"/>
        <v>-</v>
      </c>
      <c r="E31" s="5" t="str">
        <f t="shared" si="14"/>
        <v>-</v>
      </c>
      <c r="F31" s="5" t="str">
        <f t="shared" si="14"/>
        <v>-</v>
      </c>
      <c r="G31" s="5" t="str">
        <f t="shared" si="14"/>
        <v>-</v>
      </c>
      <c r="H31" s="5" t="str">
        <f t="shared" si="14"/>
        <v>-</v>
      </c>
      <c r="I31" s="5" t="str">
        <f t="shared" si="14"/>
        <v>-</v>
      </c>
      <c r="J31" s="5" t="str">
        <f t="shared" si="14"/>
        <v>-</v>
      </c>
      <c r="K31" s="5" t="str">
        <f t="shared" si="14"/>
        <v>-</v>
      </c>
      <c r="L31" s="5" t="str">
        <f t="shared" si="14"/>
        <v>-</v>
      </c>
      <c r="M31" s="5" t="str">
        <f t="shared" si="14"/>
        <v>-</v>
      </c>
      <c r="N31" s="5" t="str">
        <f t="shared" si="13"/>
        <v>-</v>
      </c>
    </row>
    <row r="32" ht="15.0" customHeight="1">
      <c r="A32" s="9" t="s">
        <v>164</v>
      </c>
      <c r="B32" s="5" t="str">
        <f>Assumptions!$B$100</f>
        <v>$200</v>
      </c>
      <c r="C32" s="5" t="str">
        <f>Assumptions!$B$100</f>
        <v>$200</v>
      </c>
      <c r="D32" s="5" t="str">
        <f>Assumptions!$B$100</f>
        <v>$200</v>
      </c>
      <c r="E32" s="5" t="str">
        <f>Assumptions!$B$100</f>
        <v>$200</v>
      </c>
      <c r="F32" s="5" t="str">
        <f>Assumptions!$B$100</f>
        <v>$200</v>
      </c>
      <c r="G32" s="5" t="str">
        <f>Assumptions!$B$100</f>
        <v>$200</v>
      </c>
      <c r="H32" s="5" t="str">
        <f>Assumptions!$B$100</f>
        <v>$200</v>
      </c>
      <c r="I32" s="5" t="str">
        <f>Assumptions!$B$100</f>
        <v>$200</v>
      </c>
      <c r="J32" s="5" t="str">
        <f>Assumptions!$B$100</f>
        <v>$200</v>
      </c>
      <c r="K32" s="5" t="str">
        <f>Assumptions!$B$100</f>
        <v>$200</v>
      </c>
      <c r="L32" s="5" t="str">
        <f>Assumptions!$B$100</f>
        <v>$200</v>
      </c>
      <c r="M32" s="5" t="str">
        <f>Assumptions!$B$100</f>
        <v>$200</v>
      </c>
      <c r="N32" s="5" t="str">
        <f t="shared" si="13"/>
        <v>$2,400</v>
      </c>
    </row>
    <row r="33" ht="15.0" customHeight="1">
      <c r="A33" s="9" t="s">
        <v>165</v>
      </c>
      <c r="B33" s="5" t="str">
        <f>Assumptions!$B$102</f>
        <v>$300</v>
      </c>
      <c r="C33" s="5" t="str">
        <f>Assumptions!$B$102</f>
        <v>$300</v>
      </c>
      <c r="D33" s="5" t="str">
        <f>Assumptions!$B$102</f>
        <v>$300</v>
      </c>
      <c r="E33" s="5" t="str">
        <f>Assumptions!$B$102</f>
        <v>$300</v>
      </c>
      <c r="F33" s="5" t="str">
        <f>Assumptions!$B$102</f>
        <v>$300</v>
      </c>
      <c r="G33" s="5" t="str">
        <f>Assumptions!$B$102</f>
        <v>$300</v>
      </c>
      <c r="H33" s="5" t="str">
        <f>Assumptions!$B$102</f>
        <v>$300</v>
      </c>
      <c r="I33" s="5" t="str">
        <f>Assumptions!$B$102</f>
        <v>$300</v>
      </c>
      <c r="J33" s="5" t="str">
        <f>Assumptions!$B$102</f>
        <v>$300</v>
      </c>
      <c r="K33" s="5" t="str">
        <f>Assumptions!$B$102</f>
        <v>$300</v>
      </c>
      <c r="L33" s="5" t="str">
        <f>Assumptions!$B$102</f>
        <v>$300</v>
      </c>
      <c r="M33" s="5" t="str">
        <f>Assumptions!$B$102</f>
        <v>$300</v>
      </c>
      <c r="N33" s="5" t="str">
        <f t="shared" si="13"/>
        <v>$3,600</v>
      </c>
    </row>
    <row r="34" ht="15.0" customHeight="1">
      <c r="A34" s="2" t="s">
        <v>166</v>
      </c>
      <c r="B34" s="5" t="str">
        <f>Assumptions!$B$133</f>
        <v>$400</v>
      </c>
      <c r="C34" s="5" t="str">
        <f>Assumptions!$B$133</f>
        <v>$400</v>
      </c>
      <c r="D34" s="5" t="str">
        <f>Assumptions!$B$133</f>
        <v>$400</v>
      </c>
      <c r="E34" s="5" t="str">
        <f>Assumptions!$B$133</f>
        <v>$400</v>
      </c>
      <c r="F34" s="5" t="str">
        <f>Assumptions!$B$133</f>
        <v>$400</v>
      </c>
      <c r="G34" s="5" t="str">
        <f>Assumptions!$B$133</f>
        <v>$400</v>
      </c>
      <c r="H34" s="5" t="str">
        <f>Assumptions!$B$133</f>
        <v>$400</v>
      </c>
      <c r="I34" s="5" t="str">
        <f>Assumptions!$B$133</f>
        <v>$400</v>
      </c>
      <c r="J34" s="5" t="str">
        <f>Assumptions!$B$133</f>
        <v>$400</v>
      </c>
      <c r="K34" s="5" t="str">
        <f>Assumptions!$B$133</f>
        <v>$400</v>
      </c>
      <c r="L34" s="5" t="str">
        <f>Assumptions!$B$133</f>
        <v>$400</v>
      </c>
      <c r="M34" s="5" t="str">
        <f>Assumptions!$B$133</f>
        <v>$400</v>
      </c>
      <c r="N34" s="5" t="str">
        <f t="shared" si="13"/>
        <v>$4,800</v>
      </c>
    </row>
    <row r="35" ht="15.0" customHeight="1">
      <c r="A35" s="9" t="s">
        <v>167</v>
      </c>
      <c r="B35" s="5" t="str">
        <f>B16*Assumptions!$B$99</f>
        <v>$347</v>
      </c>
      <c r="C35" s="5" t="str">
        <f>C16*Assumptions!$B$99</f>
        <v>$336</v>
      </c>
      <c r="D35" s="5" t="str">
        <f>D16*Assumptions!$B$99</f>
        <v>$393</v>
      </c>
      <c r="E35" s="5" t="str">
        <f>E16*Assumptions!$B$99</f>
        <v>$450</v>
      </c>
      <c r="F35" s="5" t="str">
        <f>F16*Assumptions!$B$99</f>
        <v>$507</v>
      </c>
      <c r="G35" s="5" t="str">
        <f>G16*Assumptions!$B$99</f>
        <v>$651</v>
      </c>
      <c r="H35" s="5" t="str">
        <f>H16*Assumptions!$B$99</f>
        <v>$726</v>
      </c>
      <c r="I35" s="5" t="str">
        <f>I16*Assumptions!$B$99</f>
        <v>$716</v>
      </c>
      <c r="J35" s="5" t="str">
        <f>J16*Assumptions!$B$99</f>
        <v>$772</v>
      </c>
      <c r="K35" s="5" t="str">
        <f>K16*Assumptions!$B$99</f>
        <v>$829</v>
      </c>
      <c r="L35" s="5" t="str">
        <f>L16*Assumptions!$B$99</f>
        <v>$886</v>
      </c>
      <c r="M35" s="5" t="str">
        <f>M16*Assumptions!$B$99</f>
        <v>$1,030</v>
      </c>
      <c r="N35" s="5" t="str">
        <f t="shared" si="13"/>
        <v>$7,644</v>
      </c>
    </row>
    <row r="36" ht="15.0" customHeight="1">
      <c r="A36" s="2" t="s">
        <v>168</v>
      </c>
      <c r="B36" s="5" t="str">
        <f>B16*Assumptions!$B$101</f>
        <v>$231</v>
      </c>
      <c r="C36" s="5" t="str">
        <f>C16*Assumptions!$B$101</f>
        <v>$224</v>
      </c>
      <c r="D36" s="5" t="str">
        <f>D16*Assumptions!$B$101</f>
        <v>$262</v>
      </c>
      <c r="E36" s="5" t="str">
        <f>E16*Assumptions!$B$101</f>
        <v>$300</v>
      </c>
      <c r="F36" s="5" t="str">
        <f>F16*Assumptions!$B$101</f>
        <v>$338</v>
      </c>
      <c r="G36" s="5" t="str">
        <f>G16*Assumptions!$B$101</f>
        <v>$434</v>
      </c>
      <c r="H36" s="5" t="str">
        <f>H16*Assumptions!$B$101</f>
        <v>$484</v>
      </c>
      <c r="I36" s="5" t="str">
        <f>I16*Assumptions!$B$101</f>
        <v>$477</v>
      </c>
      <c r="J36" s="5" t="str">
        <f>J16*Assumptions!$B$101</f>
        <v>$515</v>
      </c>
      <c r="K36" s="5" t="str">
        <f>K16*Assumptions!$B$101</f>
        <v>$553</v>
      </c>
      <c r="L36" s="5" t="str">
        <f>L16*Assumptions!$B$101</f>
        <v>$591</v>
      </c>
      <c r="M36" s="5" t="str">
        <f>M16*Assumptions!$B$101</f>
        <v>$687</v>
      </c>
      <c r="N36" s="5" t="str">
        <f t="shared" si="13"/>
        <v>$5,096</v>
      </c>
    </row>
    <row r="37" ht="15.0" customHeight="1">
      <c r="A37" s="9" t="s">
        <v>17</v>
      </c>
      <c r="B37" s="5" t="str">
        <f t="shared" ref="B37:M37" si="15">SUM(B27:B36)</f>
        <v>$12,441</v>
      </c>
      <c r="C37" s="5" t="str">
        <f t="shared" si="15"/>
        <v>$12,409</v>
      </c>
      <c r="D37" s="5" t="str">
        <f t="shared" si="15"/>
        <v>$12,579</v>
      </c>
      <c r="E37" s="5" t="str">
        <f t="shared" si="15"/>
        <v>$12,750</v>
      </c>
      <c r="F37" s="5" t="str">
        <f t="shared" si="15"/>
        <v>$12,921</v>
      </c>
      <c r="G37" s="5" t="str">
        <f t="shared" si="15"/>
        <v>$13,352</v>
      </c>
      <c r="H37" s="5" t="str">
        <f t="shared" si="15"/>
        <v>$16,579</v>
      </c>
      <c r="I37" s="5" t="str">
        <f t="shared" si="15"/>
        <v>$16,547</v>
      </c>
      <c r="J37" s="5" t="str">
        <f t="shared" si="15"/>
        <v>$16,717</v>
      </c>
      <c r="K37" s="5" t="str">
        <f t="shared" si="15"/>
        <v>$16,888</v>
      </c>
      <c r="L37" s="5" t="str">
        <f t="shared" si="15"/>
        <v>$17,059</v>
      </c>
      <c r="M37" s="5" t="str">
        <f t="shared" si="15"/>
        <v>$17,490</v>
      </c>
      <c r="N37" s="5" t="str">
        <f t="shared" si="13"/>
        <v>$177,732</v>
      </c>
    </row>
    <row r="38" ht="15.0" customHeight="1">
      <c r="A38" s="9" t="s">
        <v>18</v>
      </c>
      <c r="B38" s="5" t="str">
        <f t="shared" ref="B38:M38" si="16">B24-B37</f>
        <v>($5,446)</v>
      </c>
      <c r="C38" s="5" t="str">
        <f t="shared" si="16"/>
        <v>($4,766)</v>
      </c>
      <c r="D38" s="5" t="str">
        <f t="shared" si="16"/>
        <v>($3,140)</v>
      </c>
      <c r="E38" s="5" t="str">
        <f t="shared" si="16"/>
        <v>($1,514)</v>
      </c>
      <c r="F38" s="5" t="str">
        <f t="shared" si="16"/>
        <v>$113</v>
      </c>
      <c r="G38" s="5" t="str">
        <f t="shared" si="16"/>
        <v>$3,227</v>
      </c>
      <c r="H38" s="5" t="str">
        <f t="shared" si="16"/>
        <v>$2,396</v>
      </c>
      <c r="I38" s="5" t="str">
        <f t="shared" si="16"/>
        <v>$3,076</v>
      </c>
      <c r="J38" s="5" t="str">
        <f t="shared" si="16"/>
        <v>$4,702</v>
      </c>
      <c r="K38" s="5" t="str">
        <f t="shared" si="16"/>
        <v>$6,329</v>
      </c>
      <c r="L38" s="5" t="str">
        <f t="shared" si="16"/>
        <v>$7,955</v>
      </c>
      <c r="M38" s="5" t="str">
        <f t="shared" si="16"/>
        <v>$11,070</v>
      </c>
      <c r="N38" s="5" t="str">
        <f t="shared" si="13"/>
        <v>$24,001</v>
      </c>
    </row>
    <row r="39" ht="15.0" customHeight="1">
      <c r="A39" s="2" t="s">
        <v>169</v>
      </c>
      <c r="B39" s="6" t="str">
        <f t="shared" ref="B39:N39" si="17">IFERROR(B38/B16,0)</f>
        <v>-47.1%</v>
      </c>
      <c r="C39" s="6" t="str">
        <f t="shared" si="17"/>
        <v>-42.5%</v>
      </c>
      <c r="D39" s="6" t="str">
        <f t="shared" si="17"/>
        <v>-24.0%</v>
      </c>
      <c r="E39" s="6" t="str">
        <f t="shared" si="17"/>
        <v>-10.1%</v>
      </c>
      <c r="F39" s="6" t="str">
        <f t="shared" si="17"/>
        <v>0.7%</v>
      </c>
      <c r="G39" s="6" t="str">
        <f t="shared" si="17"/>
        <v>14.9%</v>
      </c>
      <c r="H39" s="6" t="str">
        <f t="shared" si="17"/>
        <v>9.9%</v>
      </c>
      <c r="I39" s="6" t="str">
        <f t="shared" si="17"/>
        <v>12.9%</v>
      </c>
      <c r="J39" s="6" t="str">
        <f t="shared" si="17"/>
        <v>18.3%</v>
      </c>
      <c r="K39" s="6" t="str">
        <f t="shared" si="17"/>
        <v>22.9%</v>
      </c>
      <c r="L39" s="6" t="str">
        <f t="shared" si="17"/>
        <v>26.9%</v>
      </c>
      <c r="M39" s="6" t="str">
        <f t="shared" si="17"/>
        <v>32.2%</v>
      </c>
      <c r="N39" s="6" t="str">
        <f t="shared" si="17"/>
        <v>9.4%</v>
      </c>
    </row>
    <row r="40" ht="15.0" customHeight="1">
      <c r="A40" s="9" t="s">
        <v>170</v>
      </c>
      <c r="B40" s="5" t="str">
        <f>B38</f>
        <v>($5,446)</v>
      </c>
      <c r="C40" s="5" t="str">
        <f t="shared" ref="C40:M40" si="18">B40+C38</f>
        <v>($10,213)</v>
      </c>
      <c r="D40" s="5" t="str">
        <f t="shared" si="18"/>
        <v>($13,353)</v>
      </c>
      <c r="E40" s="5" t="str">
        <f t="shared" si="18"/>
        <v>($14,867)</v>
      </c>
      <c r="F40" s="5" t="str">
        <f t="shared" si="18"/>
        <v>($14,754)</v>
      </c>
      <c r="G40" s="5" t="str">
        <f t="shared" si="18"/>
        <v>($11,526)</v>
      </c>
      <c r="H40" s="5" t="str">
        <f t="shared" si="18"/>
        <v>($9,131)</v>
      </c>
      <c r="I40" s="5" t="str">
        <f t="shared" si="18"/>
        <v>($6,055)</v>
      </c>
      <c r="J40" s="5" t="str">
        <f t="shared" si="18"/>
        <v>($1,352)</v>
      </c>
      <c r="K40" s="5" t="str">
        <f t="shared" si="18"/>
        <v>$4,976</v>
      </c>
      <c r="L40" s="5" t="str">
        <f t="shared" si="18"/>
        <v>$12,931</v>
      </c>
      <c r="M40" s="5" t="str">
        <f t="shared" si="18"/>
        <v>$24,001</v>
      </c>
      <c r="N40" s="5" t="str">
        <f>M40</f>
        <v>$24,001</v>
      </c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</sheetData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6" width="14.0"/>
    <col customWidth="1" min="7" max="11" width="8.71"/>
  </cols>
  <sheetData>
    <row r="1" ht="17.25" customHeight="1">
      <c r="A1" s="14" t="s">
        <v>171</v>
      </c>
      <c r="B1" s="2"/>
      <c r="C1" s="2"/>
      <c r="D1" s="2"/>
      <c r="E1" s="2"/>
      <c r="F1" s="2"/>
    </row>
    <row r="2" ht="15.0" customHeight="1">
      <c r="A2" s="3" t="s">
        <v>172</v>
      </c>
      <c r="B2" s="2"/>
      <c r="C2" s="2"/>
      <c r="D2" s="2"/>
      <c r="E2" s="2"/>
      <c r="F2" s="2"/>
    </row>
    <row r="3">
      <c r="A3" s="2"/>
      <c r="B3" s="2"/>
      <c r="C3" s="2"/>
      <c r="D3" s="2"/>
      <c r="E3" s="2"/>
      <c r="F3" s="2"/>
    </row>
    <row r="4" ht="15.0" customHeight="1">
      <c r="A4" s="2"/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</row>
    <row r="5" ht="15.0" customHeight="1">
      <c r="A5" s="2" t="s">
        <v>14</v>
      </c>
      <c r="B5" s="30" t="str">
        <f>AVERAGE('Year 1 Monthly P&amp;L'!B6:M6)</f>
        <v>147.3</v>
      </c>
      <c r="C5" s="30" t="str">
        <f>B5*(1+Assumptions!$B$75)</f>
        <v>191.5</v>
      </c>
      <c r="D5" s="30" t="str">
        <f>C5*(1+Assumptions!$B$75)</f>
        <v>249.0</v>
      </c>
      <c r="E5" s="30" t="str">
        <f>D5*(1+Assumptions!$B$75)</f>
        <v>323.7</v>
      </c>
      <c r="F5" s="30" t="str">
        <f>E5*(1+Assumptions!$B$75)</f>
        <v>420.8</v>
      </c>
    </row>
    <row r="6" ht="15.0" customHeight="1">
      <c r="A6" s="9" t="s">
        <v>146</v>
      </c>
      <c r="B6" s="30" t="str">
        <f>'Year 1 Monthly P&amp;L'!N9</f>
        <v>325.0</v>
      </c>
      <c r="C6" s="30" t="str">
        <f>MAX(C5-B5,0)+C5*Assumptions!$B$98*12</f>
        <v>113.2</v>
      </c>
      <c r="D6" s="30" t="str">
        <f>MAX(D5-C5,0)+D5*Assumptions!$B$98*12</f>
        <v>147.1</v>
      </c>
      <c r="E6" s="30" t="str">
        <f>MAX(E5-D5,0)+E5*Assumptions!$B$98*12</f>
        <v>191.2</v>
      </c>
      <c r="F6" s="30" t="str">
        <f>MAX(F5-E5,0)+F5*Assumptions!$B$98*12</f>
        <v>248.6</v>
      </c>
    </row>
    <row r="7" ht="15.0" customHeight="1">
      <c r="A7" s="2"/>
      <c r="B7" s="5"/>
      <c r="C7" s="5"/>
      <c r="D7" s="5"/>
      <c r="E7" s="5"/>
      <c r="F7" s="5"/>
    </row>
    <row r="8" ht="15.0" customHeight="1">
      <c r="A8" s="2" t="s">
        <v>147</v>
      </c>
      <c r="B8" s="5" t="str">
        <f>'Year 1 Monthly P&amp;L'!N11</f>
        <v>$146,779</v>
      </c>
      <c r="C8" s="5" t="str">
        <f>C5*'Unit Economics'!$B$20*12</f>
        <v>$190,813</v>
      </c>
      <c r="D8" s="5" t="str">
        <f>D5*'Unit Economics'!$B$20*12</f>
        <v>$248,057</v>
      </c>
      <c r="E8" s="5" t="str">
        <f>E5*'Unit Economics'!$B$20*12</f>
        <v>$322,474</v>
      </c>
      <c r="F8" s="5" t="str">
        <f>F5*'Unit Economics'!$B$20*12</f>
        <v>$419,217</v>
      </c>
    </row>
    <row r="9" ht="15.0" customHeight="1">
      <c r="A9" s="2" t="s">
        <v>148</v>
      </c>
      <c r="B9" s="5" t="str">
        <f>'Year 1 Monthly P&amp;L'!N12</f>
        <v>$32,041</v>
      </c>
      <c r="C9" s="5" t="str">
        <f>C6*'Unit Economics'!$B$21</f>
        <v>$11,154</v>
      </c>
      <c r="D9" s="5" t="str">
        <f>D6*'Unit Economics'!$B$21</f>
        <v>$14,500</v>
      </c>
      <c r="E9" s="5" t="str">
        <f>E6*'Unit Economics'!$B$21</f>
        <v>$18,850</v>
      </c>
      <c r="F9" s="5" t="str">
        <f>F6*'Unit Economics'!$B$21</f>
        <v>$24,505</v>
      </c>
    </row>
    <row r="10" ht="15.0" customHeight="1">
      <c r="A10" s="2" t="s">
        <v>149</v>
      </c>
      <c r="B10" s="5" t="str">
        <f>'Year 1 Monthly P&amp;L'!N13</f>
        <v>$71,103</v>
      </c>
      <c r="C10" s="5" t="str">
        <f>C6*Assumptions!$B$46</f>
        <v>$24,752</v>
      </c>
      <c r="D10" s="5" t="str">
        <f>D6*Assumptions!$B$46</f>
        <v>$32,178</v>
      </c>
      <c r="E10" s="5" t="str">
        <f>E6*Assumptions!$B$46</f>
        <v>$41,831</v>
      </c>
      <c r="F10" s="5" t="str">
        <f>F6*Assumptions!$B$46</f>
        <v>$54,380</v>
      </c>
    </row>
    <row r="11" ht="15.0" customHeight="1">
      <c r="A11" s="9" t="s">
        <v>150</v>
      </c>
      <c r="B11" s="5" t="str">
        <f>'Year 1 Monthly P&amp;L'!N14</f>
        <v>$2,438</v>
      </c>
      <c r="C11" s="5" t="str">
        <f>C6*Assumptions!$B$112*Assumptions!$B$113</f>
        <v>$849</v>
      </c>
      <c r="D11" s="5" t="str">
        <f>D6*Assumptions!$B$112*Assumptions!$B$113</f>
        <v>$1,103</v>
      </c>
      <c r="E11" s="5" t="str">
        <f>E6*Assumptions!$B$112*Assumptions!$B$113</f>
        <v>$1,434</v>
      </c>
      <c r="F11" s="5" t="str">
        <f>F6*Assumptions!$B$112*Assumptions!$B$113</f>
        <v>$1,864</v>
      </c>
    </row>
    <row r="12" ht="15.0" customHeight="1">
      <c r="A12" s="2" t="s">
        <v>151</v>
      </c>
      <c r="B12" s="5" t="str">
        <f>'Year 1 Monthly P&amp;L'!N15</f>
        <v>$2,438</v>
      </c>
      <c r="C12" s="5" t="str">
        <f>C6*Assumptions!$B$112*Assumptions!$B$38</f>
        <v>$849</v>
      </c>
      <c r="D12" s="5" t="str">
        <f>D6*Assumptions!$B$112*Assumptions!$B$38</f>
        <v>$1,103</v>
      </c>
      <c r="E12" s="5" t="str">
        <f>E6*Assumptions!$B$112*Assumptions!$B$38</f>
        <v>$1,434</v>
      </c>
      <c r="F12" s="5" t="str">
        <f>F6*Assumptions!$B$112*Assumptions!$B$38</f>
        <v>$1,864</v>
      </c>
    </row>
    <row r="13" ht="15.0" customHeight="1">
      <c r="A13" s="9" t="s">
        <v>15</v>
      </c>
      <c r="B13" s="5" t="str">
        <f t="shared" ref="B13:F13" si="1">SUM(B8:B12)</f>
        <v>$254,798</v>
      </c>
      <c r="C13" s="5" t="str">
        <f t="shared" si="1"/>
        <v>$228,416</v>
      </c>
      <c r="D13" s="5" t="str">
        <f t="shared" si="1"/>
        <v>$296,941</v>
      </c>
      <c r="E13" s="5" t="str">
        <f t="shared" si="1"/>
        <v>$386,024</v>
      </c>
      <c r="F13" s="5" t="str">
        <f t="shared" si="1"/>
        <v>$501,831</v>
      </c>
    </row>
    <row r="14" ht="15.0" customHeight="1">
      <c r="A14" s="2"/>
      <c r="B14" s="5"/>
      <c r="C14" s="5"/>
      <c r="D14" s="5"/>
      <c r="E14" s="5"/>
      <c r="F14" s="5"/>
    </row>
    <row r="15" ht="15.0" customHeight="1">
      <c r="A15" s="2" t="s">
        <v>152</v>
      </c>
      <c r="B15" s="5" t="str">
        <f>'Year 1 Monthly P&amp;L'!N18</f>
        <v>$3,250</v>
      </c>
      <c r="C15" s="5" t="str">
        <f>C6*Assumptions!$B$74*2</f>
        <v>$1,132</v>
      </c>
      <c r="D15" s="5" t="str">
        <f>D6*Assumptions!$B$74*2</f>
        <v>$1,471</v>
      </c>
      <c r="E15" s="5" t="str">
        <f>E6*Assumptions!$B$74*2</f>
        <v>$1,912</v>
      </c>
      <c r="F15" s="5" t="str">
        <f>F6*Assumptions!$B$74*2</f>
        <v>$2,486</v>
      </c>
    </row>
    <row r="16" ht="15.0" customHeight="1">
      <c r="A16" s="2" t="s">
        <v>173</v>
      </c>
      <c r="B16" s="5" t="str">
        <f>'Year 1 Monthly P&amp;L'!N19</f>
        <v>-</v>
      </c>
      <c r="C16" s="5" t="str">
        <f>MAX(C5-272,0)*Assumptions!$B$73*12</f>
        <v>-</v>
      </c>
      <c r="D16" s="5" t="str">
        <f>MAX(D5-272,0)*Assumptions!$B$73*12</f>
        <v>-</v>
      </c>
      <c r="E16" s="5" t="str">
        <f>MAX(E5-272,0)*Assumptions!$B$73*12</f>
        <v>$15,507</v>
      </c>
      <c r="F16" s="5" t="str">
        <f>MAX(F5-272,0)*Assumptions!$B$73*12</f>
        <v>$44,640</v>
      </c>
    </row>
    <row r="17" ht="15.0" customHeight="1">
      <c r="A17" s="9" t="s">
        <v>154</v>
      </c>
      <c r="B17" s="5" t="str">
        <f>'Year 1 Monthly P&amp;L'!N20</f>
        <v>$48,756</v>
      </c>
      <c r="C17" s="5" t="str">
        <f>C6*Assumptions!$C$46</f>
        <v>$16,973</v>
      </c>
      <c r="D17" s="5" t="str">
        <f>D6*Assumptions!$C$46</f>
        <v>$22,065</v>
      </c>
      <c r="E17" s="5" t="str">
        <f>E6*Assumptions!$C$46</f>
        <v>$28,684</v>
      </c>
      <c r="F17" s="5" t="str">
        <f>F6*Assumptions!$C$46</f>
        <v>$37,289</v>
      </c>
    </row>
    <row r="18" ht="15.0" customHeight="1">
      <c r="A18" s="9" t="s">
        <v>155</v>
      </c>
      <c r="B18" s="5" t="str">
        <f>'Year 1 Monthly P&amp;L'!N21</f>
        <v>$1,059</v>
      </c>
      <c r="C18" s="5" t="str">
        <f>C11*(1-Assumptions!$B$61)</f>
        <v>$369</v>
      </c>
      <c r="D18" s="5" t="str">
        <f>D11*(1-Assumptions!$B$61)</f>
        <v>$479</v>
      </c>
      <c r="E18" s="5" t="str">
        <f>E11*(1-Assumptions!$B$61)</f>
        <v>$623</v>
      </c>
      <c r="F18" s="5" t="str">
        <f>F11*(1-Assumptions!$B$61)</f>
        <v>$810</v>
      </c>
    </row>
    <row r="19" ht="15.0" customHeight="1">
      <c r="A19" s="2" t="s">
        <v>156</v>
      </c>
      <c r="B19" s="5" t="str">
        <f>'Year 1 Monthly P&amp;L'!N22</f>
        <v>-</v>
      </c>
      <c r="C19" s="5" t="str">
        <f t="shared" ref="C19:F19" si="2">0</f>
        <v>-</v>
      </c>
      <c r="D19" s="5" t="str">
        <f t="shared" si="2"/>
        <v>-</v>
      </c>
      <c r="E19" s="5" t="str">
        <f t="shared" si="2"/>
        <v>-</v>
      </c>
      <c r="F19" s="5" t="str">
        <f t="shared" si="2"/>
        <v>-</v>
      </c>
    </row>
    <row r="20" ht="15.0" customHeight="1">
      <c r="A20" s="9" t="s">
        <v>157</v>
      </c>
      <c r="B20" s="5" t="str">
        <f t="shared" ref="B20:F20" si="3">SUM(B15:B19)</f>
        <v>$53,065</v>
      </c>
      <c r="C20" s="5" t="str">
        <f t="shared" si="3"/>
        <v>$18,473</v>
      </c>
      <c r="D20" s="5" t="str">
        <f t="shared" si="3"/>
        <v>$24,015</v>
      </c>
      <c r="E20" s="5" t="str">
        <f t="shared" si="3"/>
        <v>$46,727</v>
      </c>
      <c r="F20" s="5" t="str">
        <f t="shared" si="3"/>
        <v>$85,225</v>
      </c>
    </row>
    <row r="21" ht="15.0" customHeight="1">
      <c r="A21" s="9" t="s">
        <v>16</v>
      </c>
      <c r="B21" s="5" t="str">
        <f>'Year 1 Monthly P&amp;L'!N24</f>
        <v>$201,733</v>
      </c>
      <c r="C21" s="5" t="str">
        <f t="shared" ref="C21:F21" si="4">C13-C20</f>
        <v>$209,943</v>
      </c>
      <c r="D21" s="5" t="str">
        <f t="shared" si="4"/>
        <v>$272,926</v>
      </c>
      <c r="E21" s="5" t="str">
        <f t="shared" si="4"/>
        <v>$339,297</v>
      </c>
      <c r="F21" s="5" t="str">
        <f t="shared" si="4"/>
        <v>$416,606</v>
      </c>
    </row>
    <row r="22" ht="15.0" customHeight="1">
      <c r="A22" s="2" t="s">
        <v>158</v>
      </c>
      <c r="B22" s="6" t="str">
        <f t="shared" ref="B22:F22" si="5">IFERROR(B21/B13,0)</f>
        <v>79.2%</v>
      </c>
      <c r="C22" s="6" t="str">
        <f t="shared" si="5"/>
        <v>91.9%</v>
      </c>
      <c r="D22" s="6" t="str">
        <f t="shared" si="5"/>
        <v>91.9%</v>
      </c>
      <c r="E22" s="6" t="str">
        <f t="shared" si="5"/>
        <v>87.9%</v>
      </c>
      <c r="F22" s="6" t="str">
        <f t="shared" si="5"/>
        <v>83.0%</v>
      </c>
    </row>
    <row r="23" ht="15.0" customHeight="1">
      <c r="A23" s="2"/>
      <c r="B23" s="5"/>
      <c r="C23" s="5"/>
      <c r="D23" s="5"/>
      <c r="E23" s="5"/>
      <c r="F23" s="5"/>
    </row>
    <row r="24" ht="15.0" customHeight="1">
      <c r="A24" s="2" t="s">
        <v>174</v>
      </c>
      <c r="B24" s="5" t="str">
        <f>'Year 1 Monthly P&amp;L'!N27</f>
        <v>$54,000</v>
      </c>
      <c r="C24" s="5" t="str">
        <f>(Assumptions!$B$66+Assumptions!$B$70)*12</f>
        <v>$72,000</v>
      </c>
      <c r="D24" s="5" t="str">
        <f>(Assumptions!$B$66+Assumptions!$B$70)*12</f>
        <v>$72,000</v>
      </c>
      <c r="E24" s="5" t="str">
        <f>(Assumptions!$B$66+Assumptions!$B$70)*12</f>
        <v>$72,000</v>
      </c>
      <c r="F24" s="5" t="str">
        <f>(Assumptions!$B$66+Assumptions!$B$70)*12</f>
        <v>$72,000</v>
      </c>
    </row>
    <row r="25" ht="15.0" customHeight="1">
      <c r="A25" s="2" t="s">
        <v>160</v>
      </c>
      <c r="B25" s="5" t="str">
        <f>'Year 1 Monthly P&amp;L'!N28</f>
        <v>$36,000</v>
      </c>
      <c r="C25" s="5" t="str">
        <f>Assumptions!$B$87*12</f>
        <v>$36,000</v>
      </c>
      <c r="D25" s="5" t="str">
        <f>Assumptions!$B$87*12</f>
        <v>$36,000</v>
      </c>
      <c r="E25" s="5" t="str">
        <f>Assumptions!$B$87*12</f>
        <v>$36,000</v>
      </c>
      <c r="F25" s="5" t="str">
        <f>Assumptions!$B$87*12</f>
        <v>$36,000</v>
      </c>
    </row>
    <row r="26" ht="15.0" customHeight="1">
      <c r="A26" s="2" t="s">
        <v>161</v>
      </c>
      <c r="B26" s="5" t="str">
        <f>'Year 1 Monthly P&amp;L'!N29</f>
        <v>$24,000</v>
      </c>
      <c r="C26" s="5" t="str">
        <f>Assumptions!$B$120*12</f>
        <v>$24,000</v>
      </c>
      <c r="D26" s="5" t="str">
        <f>Assumptions!$B$120*12</f>
        <v>$24,000</v>
      </c>
      <c r="E26" s="5" t="str">
        <f>Assumptions!$B$120*12</f>
        <v>$24,000</v>
      </c>
      <c r="F26" s="5" t="str">
        <f>Assumptions!$B$120*12</f>
        <v>$24,000</v>
      </c>
    </row>
    <row r="27" ht="15.0" customHeight="1">
      <c r="A27" s="2" t="s">
        <v>162</v>
      </c>
      <c r="B27" s="5" t="str">
        <f>'Year 1 Monthly P&amp;L'!N30</f>
        <v>$40,192</v>
      </c>
      <c r="C27" s="5" t="str">
        <f>(Assumptions!$B$78+Assumptions!$B$79)*12+C13*Assumptions!$B$80+C13*Assumptions!$B$84*Assumptions!$B$82</f>
        <v>$39,137</v>
      </c>
      <c r="D27" s="5" t="str">
        <f>(Assumptions!$B$78+Assumptions!$B$79)*12+D13*Assumptions!$B$80+D13*Assumptions!$B$84*Assumptions!$B$82</f>
        <v>$41,878</v>
      </c>
      <c r="E27" s="5" t="str">
        <f>(Assumptions!$B$78+Assumptions!$B$79)*12+E13*Assumptions!$B$80+E13*Assumptions!$B$84*Assumptions!$B$82</f>
        <v>$45,441</v>
      </c>
      <c r="F27" s="5" t="str">
        <f>(Assumptions!$B$78+Assumptions!$B$79)*12+F13*Assumptions!$B$80+F13*Assumptions!$B$84*Assumptions!$B$82</f>
        <v>$50,073</v>
      </c>
    </row>
    <row r="28" ht="15.0" customHeight="1">
      <c r="A28" s="2" t="s">
        <v>163</v>
      </c>
      <c r="B28" s="5">
        <v>0.0</v>
      </c>
      <c r="C28" s="5" t="str">
        <f>Assumptions!$B$88*12</f>
        <v>$9,000</v>
      </c>
      <c r="D28" s="5" t="str">
        <f>Assumptions!$B$88*12</f>
        <v>$9,000</v>
      </c>
      <c r="E28" s="5" t="str">
        <f>Assumptions!$B$88*12</f>
        <v>$9,000</v>
      </c>
      <c r="F28" s="5" t="str">
        <f>Assumptions!$B$88*12</f>
        <v>$9,000</v>
      </c>
    </row>
    <row r="29" ht="15.0" customHeight="1">
      <c r="A29" s="9" t="s">
        <v>164</v>
      </c>
      <c r="B29" s="5" t="str">
        <f>'Year 1 Monthly P&amp;L'!N32</f>
        <v>$2,400</v>
      </c>
      <c r="C29" s="5" t="str">
        <f>Assumptions!$B$100*12</f>
        <v>$2,400</v>
      </c>
      <c r="D29" s="5" t="str">
        <f>Assumptions!$B$100*12</f>
        <v>$2,400</v>
      </c>
      <c r="E29" s="5" t="str">
        <f>Assumptions!$B$100*12</f>
        <v>$2,400</v>
      </c>
      <c r="F29" s="5" t="str">
        <f>Assumptions!$B$100*12</f>
        <v>$2,400</v>
      </c>
    </row>
    <row r="30" ht="15.0" customHeight="1">
      <c r="A30" s="9" t="s">
        <v>165</v>
      </c>
      <c r="B30" s="5" t="str">
        <f>'Year 1 Monthly P&amp;L'!N33</f>
        <v>$3,600</v>
      </c>
      <c r="C30" s="5" t="str">
        <f>Assumptions!$B$102*12</f>
        <v>$3,600</v>
      </c>
      <c r="D30" s="5" t="str">
        <f>Assumptions!$B$102*12</f>
        <v>$3,600</v>
      </c>
      <c r="E30" s="5" t="str">
        <f>Assumptions!$B$102*12</f>
        <v>$3,600</v>
      </c>
      <c r="F30" s="5" t="str">
        <f>Assumptions!$B$102*12</f>
        <v>$3,600</v>
      </c>
    </row>
    <row r="31" ht="15.0" customHeight="1">
      <c r="A31" s="2" t="s">
        <v>166</v>
      </c>
      <c r="B31" s="5" t="str">
        <f>'Year 1 Monthly P&amp;L'!N34</f>
        <v>$4,800</v>
      </c>
      <c r="C31" s="5" t="str">
        <f>Assumptions!$B$133*12</f>
        <v>$4,800</v>
      </c>
      <c r="D31" s="5" t="str">
        <f>Assumptions!$B$133*12</f>
        <v>$4,800</v>
      </c>
      <c r="E31" s="5" t="str">
        <f>Assumptions!$B$133*12</f>
        <v>$4,800</v>
      </c>
      <c r="F31" s="5" t="str">
        <f>Assumptions!$B$133*12</f>
        <v>$4,800</v>
      </c>
    </row>
    <row r="32" ht="15.0" customHeight="1">
      <c r="A32" s="2" t="s">
        <v>167</v>
      </c>
      <c r="B32" s="5" t="str">
        <f>'Year 1 Monthly P&amp;L'!N35</f>
        <v>$7,644</v>
      </c>
      <c r="C32" s="5" t="str">
        <f>C13*Assumptions!$B$99</f>
        <v>$6,852</v>
      </c>
      <c r="D32" s="5" t="str">
        <f>D13*Assumptions!$B$99</f>
        <v>$8,908</v>
      </c>
      <c r="E32" s="5" t="str">
        <f>E13*Assumptions!$B$99</f>
        <v>$11,581</v>
      </c>
      <c r="F32" s="5" t="str">
        <f>F13*Assumptions!$B$99</f>
        <v>$15,055</v>
      </c>
    </row>
    <row r="33" ht="15.0" customHeight="1">
      <c r="A33" s="2" t="s">
        <v>168</v>
      </c>
      <c r="B33" s="5" t="str">
        <f>'Year 1 Monthly P&amp;L'!N36</f>
        <v>$5,096</v>
      </c>
      <c r="C33" s="5" t="str">
        <f>C13*Assumptions!$B$101</f>
        <v>$4,568</v>
      </c>
      <c r="D33" s="5" t="str">
        <f>D13*Assumptions!$B$101</f>
        <v>$5,939</v>
      </c>
      <c r="E33" s="5" t="str">
        <f>E13*Assumptions!$B$101</f>
        <v>$7,720</v>
      </c>
      <c r="F33" s="5" t="str">
        <f>F13*Assumptions!$B$101</f>
        <v>$10,037</v>
      </c>
    </row>
    <row r="34" ht="15.0" customHeight="1">
      <c r="A34" s="9" t="s">
        <v>17</v>
      </c>
      <c r="B34" s="5" t="str">
        <f t="shared" ref="B34:F34" si="6">SUM(B24:B33)</f>
        <v>$177,732</v>
      </c>
      <c r="C34" s="5" t="str">
        <f t="shared" si="6"/>
        <v>$202,357</v>
      </c>
      <c r="D34" s="5" t="str">
        <f t="shared" si="6"/>
        <v>$208,525</v>
      </c>
      <c r="E34" s="5" t="str">
        <f t="shared" si="6"/>
        <v>$216,542</v>
      </c>
      <c r="F34" s="5" t="str">
        <f t="shared" si="6"/>
        <v>$226,965</v>
      </c>
    </row>
    <row r="35" ht="15.0" customHeight="1">
      <c r="A35" s="9" t="s">
        <v>18</v>
      </c>
      <c r="B35" s="5" t="str">
        <f>'Year 1 Monthly P&amp;L'!N38</f>
        <v>$24,001</v>
      </c>
      <c r="C35" s="5" t="str">
        <f t="shared" ref="C35:F35" si="7">C21-C34</f>
        <v>$7,586</v>
      </c>
      <c r="D35" s="5" t="str">
        <f t="shared" si="7"/>
        <v>$64,402</v>
      </c>
      <c r="E35" s="5" t="str">
        <f t="shared" si="7"/>
        <v>$122,755</v>
      </c>
      <c r="F35" s="5" t="str">
        <f t="shared" si="7"/>
        <v>$189,641</v>
      </c>
    </row>
    <row r="36" ht="15.0" customHeight="1">
      <c r="A36" s="2" t="s">
        <v>169</v>
      </c>
      <c r="B36" s="6" t="str">
        <f t="shared" ref="B36:F36" si="8">IFERROR(B35/B13,0)</f>
        <v>9.4%</v>
      </c>
      <c r="C36" s="6" t="str">
        <f t="shared" si="8"/>
        <v>3.3%</v>
      </c>
      <c r="D36" s="6" t="str">
        <f t="shared" si="8"/>
        <v>21.7%</v>
      </c>
      <c r="E36" s="6" t="str">
        <f t="shared" si="8"/>
        <v>31.8%</v>
      </c>
      <c r="F36" s="6" t="str">
        <f t="shared" si="8"/>
        <v>37.8%</v>
      </c>
    </row>
    <row r="37" ht="15.75" customHeight="1">
      <c r="A37" s="2"/>
      <c r="B37" s="2"/>
      <c r="C37" s="2"/>
      <c r="D37" s="2"/>
      <c r="E37" s="2"/>
      <c r="F37" s="2"/>
    </row>
    <row r="38" ht="15.75" customHeight="1">
      <c r="A38" s="2"/>
      <c r="B38" s="2"/>
      <c r="C38" s="2"/>
      <c r="D38" s="2"/>
      <c r="E38" s="2"/>
      <c r="F38" s="2"/>
    </row>
    <row r="39" ht="15.75" customHeight="1">
      <c r="A39" s="2"/>
      <c r="B39" s="2"/>
      <c r="C39" s="2"/>
      <c r="D39" s="2"/>
      <c r="E39" s="2"/>
      <c r="F39" s="2"/>
    </row>
    <row r="40" ht="15.75" customHeight="1">
      <c r="A40" s="2"/>
      <c r="B40" s="2"/>
      <c r="C40" s="2"/>
      <c r="D40" s="2"/>
      <c r="E40" s="2"/>
      <c r="F40" s="2"/>
    </row>
    <row r="41" ht="15.75" customHeight="1">
      <c r="A41" s="2"/>
      <c r="B41" s="2"/>
      <c r="C41" s="2"/>
      <c r="D41" s="2"/>
      <c r="E41" s="2"/>
      <c r="F41" s="2"/>
    </row>
    <row r="42" ht="15.75" customHeight="1">
      <c r="A42" s="2"/>
      <c r="B42" s="2"/>
      <c r="C42" s="2"/>
      <c r="D42" s="2"/>
      <c r="E42" s="2"/>
      <c r="F42" s="2"/>
    </row>
    <row r="43" ht="15.75" customHeight="1">
      <c r="A43" s="2"/>
      <c r="B43" s="2"/>
      <c r="C43" s="2"/>
      <c r="D43" s="2"/>
      <c r="E43" s="2"/>
      <c r="F43" s="2"/>
    </row>
    <row r="44" ht="15.75" customHeight="1">
      <c r="A44" s="2"/>
      <c r="B44" s="2"/>
      <c r="C44" s="2"/>
      <c r="D44" s="2"/>
      <c r="E44" s="2"/>
      <c r="F44" s="2"/>
    </row>
    <row r="45" ht="15.75" customHeight="1">
      <c r="A45" s="2"/>
      <c r="B45" s="2"/>
      <c r="C45" s="2"/>
      <c r="D45" s="2"/>
      <c r="E45" s="2"/>
      <c r="F45" s="2"/>
    </row>
    <row r="46" ht="15.75" customHeight="1">
      <c r="A46" s="2"/>
      <c r="B46" s="2"/>
      <c r="C46" s="2"/>
      <c r="D46" s="2"/>
      <c r="E46" s="2"/>
      <c r="F46" s="2"/>
    </row>
    <row r="47" ht="15.75" customHeight="1">
      <c r="A47" s="2"/>
      <c r="B47" s="2"/>
      <c r="C47" s="2"/>
      <c r="D47" s="2"/>
      <c r="E47" s="2"/>
      <c r="F47" s="2"/>
    </row>
    <row r="48" ht="15.75" customHeight="1">
      <c r="A48" s="2"/>
      <c r="B48" s="2"/>
      <c r="C48" s="2"/>
      <c r="D48" s="2"/>
      <c r="E48" s="2"/>
      <c r="F48" s="2"/>
    </row>
    <row r="49" ht="15.75" customHeight="1">
      <c r="A49" s="2"/>
      <c r="B49" s="2"/>
      <c r="C49" s="2"/>
      <c r="D49" s="2"/>
      <c r="E49" s="2"/>
      <c r="F49" s="2"/>
    </row>
    <row r="50" ht="15.75" customHeight="1">
      <c r="A50" s="2"/>
      <c r="B50" s="2"/>
      <c r="C50" s="2"/>
      <c r="D50" s="2"/>
      <c r="E50" s="2"/>
      <c r="F50" s="2"/>
    </row>
    <row r="51" ht="15.75" customHeight="1">
      <c r="A51" s="2"/>
      <c r="B51" s="2"/>
      <c r="C51" s="2"/>
      <c r="D51" s="2"/>
      <c r="E51" s="2"/>
      <c r="F51" s="2"/>
    </row>
    <row r="52" ht="15.75" customHeight="1">
      <c r="A52" s="2"/>
      <c r="B52" s="2"/>
      <c r="C52" s="2"/>
      <c r="D52" s="2"/>
      <c r="E52" s="2"/>
      <c r="F52" s="2"/>
    </row>
    <row r="53" ht="15.75" customHeight="1">
      <c r="A53" s="2"/>
      <c r="B53" s="2"/>
      <c r="C53" s="2"/>
      <c r="D53" s="2"/>
      <c r="E53" s="2"/>
      <c r="F53" s="2"/>
    </row>
    <row r="54" ht="15.75" customHeight="1">
      <c r="A54" s="2"/>
      <c r="B54" s="2"/>
      <c r="C54" s="2"/>
      <c r="D54" s="2"/>
      <c r="E54" s="2"/>
      <c r="F54" s="2"/>
    </row>
    <row r="55" ht="15.75" customHeight="1">
      <c r="A55" s="2"/>
      <c r="B55" s="2"/>
      <c r="C55" s="2"/>
      <c r="D55" s="2"/>
      <c r="E55" s="2"/>
      <c r="F55" s="2"/>
    </row>
    <row r="56" ht="15.75" customHeight="1">
      <c r="A56" s="2"/>
      <c r="B56" s="2"/>
      <c r="C56" s="2"/>
      <c r="D56" s="2"/>
      <c r="E56" s="2"/>
      <c r="F56" s="2"/>
    </row>
    <row r="57" ht="15.75" customHeight="1">
      <c r="A57" s="2"/>
      <c r="B57" s="2"/>
      <c r="C57" s="2"/>
      <c r="D57" s="2"/>
      <c r="E57" s="2"/>
      <c r="F57" s="2"/>
    </row>
    <row r="58" ht="15.75" customHeight="1">
      <c r="A58" s="2"/>
      <c r="B58" s="2"/>
      <c r="C58" s="2"/>
      <c r="D58" s="2"/>
      <c r="E58" s="2"/>
      <c r="F58" s="2"/>
    </row>
    <row r="59" ht="15.75" customHeight="1">
      <c r="A59" s="2"/>
      <c r="B59" s="2"/>
      <c r="C59" s="2"/>
      <c r="D59" s="2"/>
      <c r="E59" s="2"/>
      <c r="F59" s="2"/>
    </row>
    <row r="60" ht="15.75" customHeight="1">
      <c r="A60" s="2"/>
      <c r="B60" s="2"/>
      <c r="C60" s="2"/>
      <c r="D60" s="2"/>
      <c r="E60" s="2"/>
      <c r="F60" s="2"/>
    </row>
    <row r="61" ht="15.75" customHeight="1">
      <c r="A61" s="2"/>
      <c r="B61" s="2"/>
      <c r="C61" s="2"/>
      <c r="D61" s="2"/>
      <c r="E61" s="2"/>
      <c r="F61" s="2"/>
    </row>
    <row r="62" ht="15.75" customHeight="1">
      <c r="A62" s="2"/>
      <c r="B62" s="2"/>
      <c r="C62" s="2"/>
      <c r="D62" s="2"/>
      <c r="E62" s="2"/>
      <c r="F62" s="2"/>
    </row>
    <row r="63" ht="15.75" customHeight="1">
      <c r="A63" s="2"/>
      <c r="B63" s="2"/>
      <c r="C63" s="2"/>
      <c r="D63" s="2"/>
      <c r="E63" s="2"/>
      <c r="F63" s="2"/>
    </row>
    <row r="64" ht="15.75" customHeight="1">
      <c r="A64" s="2"/>
      <c r="B64" s="2"/>
      <c r="C64" s="2"/>
      <c r="D64" s="2"/>
      <c r="E64" s="2"/>
      <c r="F64" s="2"/>
    </row>
    <row r="65" ht="15.75" customHeight="1">
      <c r="A65" s="2"/>
      <c r="B65" s="2"/>
      <c r="C65" s="2"/>
      <c r="D65" s="2"/>
      <c r="E65" s="2"/>
      <c r="F65" s="2"/>
    </row>
    <row r="66" ht="15.75" customHeight="1">
      <c r="A66" s="2"/>
      <c r="B66" s="2"/>
      <c r="C66" s="2"/>
      <c r="D66" s="2"/>
      <c r="E66" s="2"/>
      <c r="F66" s="2"/>
    </row>
    <row r="67" ht="15.75" customHeight="1">
      <c r="A67" s="2"/>
      <c r="B67" s="2"/>
      <c r="C67" s="2"/>
      <c r="D67" s="2"/>
      <c r="E67" s="2"/>
      <c r="F67" s="2"/>
    </row>
    <row r="68" ht="15.75" customHeight="1">
      <c r="A68" s="2"/>
      <c r="B68" s="2"/>
      <c r="C68" s="2"/>
      <c r="D68" s="2"/>
      <c r="E68" s="2"/>
      <c r="F68" s="2"/>
    </row>
    <row r="69" ht="15.75" customHeight="1">
      <c r="A69" s="2"/>
      <c r="B69" s="2"/>
      <c r="C69" s="2"/>
      <c r="D69" s="2"/>
      <c r="E69" s="2"/>
      <c r="F69" s="2"/>
    </row>
    <row r="70" ht="15.75" customHeight="1">
      <c r="A70" s="2"/>
      <c r="B70" s="2"/>
      <c r="C70" s="2"/>
      <c r="D70" s="2"/>
      <c r="E70" s="2"/>
      <c r="F70" s="2"/>
    </row>
    <row r="71" ht="15.75" customHeight="1">
      <c r="A71" s="2"/>
      <c r="B71" s="2"/>
      <c r="C71" s="2"/>
      <c r="D71" s="2"/>
      <c r="E71" s="2"/>
      <c r="F71" s="2"/>
    </row>
    <row r="72" ht="15.75" customHeight="1">
      <c r="A72" s="2"/>
      <c r="B72" s="2"/>
      <c r="C72" s="2"/>
      <c r="D72" s="2"/>
      <c r="E72" s="2"/>
      <c r="F72" s="2"/>
    </row>
    <row r="73" ht="15.75" customHeight="1">
      <c r="A73" s="2"/>
      <c r="B73" s="2"/>
      <c r="C73" s="2"/>
      <c r="D73" s="2"/>
      <c r="E73" s="2"/>
      <c r="F73" s="2"/>
    </row>
    <row r="74" ht="15.75" customHeight="1">
      <c r="A74" s="2"/>
      <c r="B74" s="2"/>
      <c r="C74" s="2"/>
      <c r="D74" s="2"/>
      <c r="E74" s="2"/>
      <c r="F74" s="2"/>
    </row>
    <row r="75" ht="15.75" customHeight="1">
      <c r="A75" s="2"/>
      <c r="B75" s="2"/>
      <c r="C75" s="2"/>
      <c r="D75" s="2"/>
      <c r="E75" s="2"/>
      <c r="F75" s="2"/>
    </row>
    <row r="76" ht="15.75" customHeight="1">
      <c r="A76" s="2"/>
      <c r="B76" s="2"/>
      <c r="C76" s="2"/>
      <c r="D76" s="2"/>
      <c r="E76" s="2"/>
      <c r="F76" s="2"/>
    </row>
    <row r="77" ht="15.75" customHeight="1">
      <c r="A77" s="2"/>
      <c r="B77" s="2"/>
      <c r="C77" s="2"/>
      <c r="D77" s="2"/>
      <c r="E77" s="2"/>
      <c r="F77" s="2"/>
    </row>
    <row r="78" ht="15.75" customHeight="1">
      <c r="A78" s="2"/>
      <c r="B78" s="2"/>
      <c r="C78" s="2"/>
      <c r="D78" s="2"/>
      <c r="E78" s="2"/>
      <c r="F78" s="2"/>
    </row>
    <row r="79" ht="15.75" customHeight="1">
      <c r="A79" s="2"/>
      <c r="B79" s="2"/>
      <c r="C79" s="2"/>
      <c r="D79" s="2"/>
      <c r="E79" s="2"/>
      <c r="F79" s="2"/>
    </row>
    <row r="80" ht="15.75" customHeight="1">
      <c r="A80" s="2"/>
      <c r="B80" s="2"/>
      <c r="C80" s="2"/>
      <c r="D80" s="2"/>
      <c r="E80" s="2"/>
      <c r="F80" s="2"/>
    </row>
    <row r="81" ht="15.75" customHeight="1">
      <c r="A81" s="2"/>
      <c r="B81" s="2"/>
      <c r="C81" s="2"/>
      <c r="D81" s="2"/>
      <c r="E81" s="2"/>
      <c r="F81" s="2"/>
    </row>
    <row r="82" ht="15.75" customHeight="1">
      <c r="A82" s="2"/>
      <c r="B82" s="2"/>
      <c r="C82" s="2"/>
      <c r="D82" s="2"/>
      <c r="E82" s="2"/>
      <c r="F82" s="2"/>
    </row>
    <row r="83" ht="15.75" customHeight="1">
      <c r="A83" s="2"/>
      <c r="B83" s="2"/>
      <c r="C83" s="2"/>
      <c r="D83" s="2"/>
      <c r="E83" s="2"/>
      <c r="F83" s="2"/>
    </row>
    <row r="84" ht="15.75" customHeight="1">
      <c r="A84" s="2"/>
      <c r="B84" s="2"/>
      <c r="C84" s="2"/>
      <c r="D84" s="2"/>
      <c r="E84" s="2"/>
      <c r="F84" s="2"/>
    </row>
    <row r="85" ht="15.75" customHeight="1">
      <c r="A85" s="2"/>
      <c r="B85" s="2"/>
      <c r="C85" s="2"/>
      <c r="D85" s="2"/>
      <c r="E85" s="2"/>
      <c r="F85" s="2"/>
    </row>
    <row r="86" ht="15.75" customHeight="1">
      <c r="A86" s="2"/>
      <c r="B86" s="2"/>
      <c r="C86" s="2"/>
      <c r="D86" s="2"/>
      <c r="E86" s="2"/>
      <c r="F86" s="2"/>
    </row>
    <row r="87" ht="15.75" customHeight="1">
      <c r="A87" s="2"/>
      <c r="B87" s="2"/>
      <c r="C87" s="2"/>
      <c r="D87" s="2"/>
      <c r="E87" s="2"/>
      <c r="F87" s="2"/>
    </row>
    <row r="88" ht="15.75" customHeight="1">
      <c r="A88" s="2"/>
      <c r="B88" s="2"/>
      <c r="C88" s="2"/>
      <c r="D88" s="2"/>
      <c r="E88" s="2"/>
      <c r="F88" s="2"/>
    </row>
    <row r="89" ht="15.75" customHeight="1">
      <c r="A89" s="2"/>
      <c r="B89" s="2"/>
      <c r="C89" s="2"/>
      <c r="D89" s="2"/>
      <c r="E89" s="2"/>
      <c r="F89" s="2"/>
    </row>
    <row r="90" ht="15.75" customHeight="1">
      <c r="A90" s="2"/>
      <c r="B90" s="2"/>
      <c r="C90" s="2"/>
      <c r="D90" s="2"/>
      <c r="E90" s="2"/>
      <c r="F90" s="2"/>
    </row>
    <row r="91" ht="15.75" customHeight="1">
      <c r="A91" s="2"/>
      <c r="B91" s="2"/>
      <c r="C91" s="2"/>
      <c r="D91" s="2"/>
      <c r="E91" s="2"/>
      <c r="F91" s="2"/>
    </row>
    <row r="92" ht="15.75" customHeight="1">
      <c r="A92" s="2"/>
      <c r="B92" s="2"/>
      <c r="C92" s="2"/>
      <c r="D92" s="2"/>
      <c r="E92" s="2"/>
      <c r="F92" s="2"/>
    </row>
    <row r="93" ht="15.75" customHeight="1">
      <c r="A93" s="2"/>
      <c r="B93" s="2"/>
      <c r="C93" s="2"/>
      <c r="D93" s="2"/>
      <c r="E93" s="2"/>
      <c r="F93" s="2"/>
    </row>
    <row r="94" ht="15.75" customHeight="1">
      <c r="A94" s="2"/>
      <c r="B94" s="2"/>
      <c r="C94" s="2"/>
      <c r="D94" s="2"/>
      <c r="E94" s="2"/>
      <c r="F94" s="2"/>
    </row>
    <row r="95" ht="15.75" customHeight="1">
      <c r="A95" s="2"/>
      <c r="B95" s="2"/>
      <c r="C95" s="2"/>
      <c r="D95" s="2"/>
      <c r="E95" s="2"/>
      <c r="F95" s="2"/>
    </row>
    <row r="96" ht="15.75" customHeight="1">
      <c r="A96" s="2"/>
      <c r="B96" s="2"/>
      <c r="C96" s="2"/>
      <c r="D96" s="2"/>
      <c r="E96" s="2"/>
      <c r="F96" s="2"/>
    </row>
    <row r="97" ht="15.75" customHeight="1">
      <c r="A97" s="2"/>
      <c r="B97" s="2"/>
      <c r="C97" s="2"/>
      <c r="D97" s="2"/>
      <c r="E97" s="2"/>
      <c r="F97" s="2"/>
    </row>
    <row r="98" ht="15.75" customHeight="1">
      <c r="A98" s="2"/>
      <c r="B98" s="2"/>
      <c r="C98" s="2"/>
      <c r="D98" s="2"/>
      <c r="E98" s="2"/>
      <c r="F98" s="2"/>
    </row>
    <row r="99" ht="15.75" customHeight="1">
      <c r="A99" s="2"/>
      <c r="B99" s="2"/>
      <c r="C99" s="2"/>
      <c r="D99" s="2"/>
      <c r="E99" s="2"/>
      <c r="F99" s="2"/>
    </row>
    <row r="100" ht="15.75" customHeight="1">
      <c r="A100" s="2"/>
      <c r="B100" s="2"/>
      <c r="C100" s="2"/>
      <c r="D100" s="2"/>
      <c r="E100" s="2"/>
      <c r="F100" s="2"/>
    </row>
  </sheetData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2.0"/>
    <col customWidth="1" min="2" max="2" width="16.0"/>
    <col customWidth="1" min="3" max="11" width="8.71"/>
  </cols>
  <sheetData>
    <row r="1" ht="17.25" customHeight="1">
      <c r="A1" s="14" t="s">
        <v>175</v>
      </c>
      <c r="B1" s="2"/>
    </row>
    <row r="2">
      <c r="A2" s="2"/>
      <c r="B2" s="2"/>
    </row>
    <row r="3" ht="15.0" customHeight="1">
      <c r="A3" s="4" t="s">
        <v>2</v>
      </c>
      <c r="B3" s="2"/>
    </row>
    <row r="4" ht="15.0" customHeight="1">
      <c r="A4" s="26" t="s">
        <v>32</v>
      </c>
      <c r="B4" s="10" t="str">
        <f>Assumptions!B4</f>
        <v>$250,000</v>
      </c>
    </row>
    <row r="5" ht="15.0" customHeight="1">
      <c r="A5" s="26" t="s">
        <v>4</v>
      </c>
      <c r="B5" s="11" t="str">
        <f>Assumptions!B5</f>
        <v>49.0%</v>
      </c>
    </row>
    <row r="6" ht="15.0" customHeight="1">
      <c r="A6" s="26"/>
      <c r="B6" s="10"/>
    </row>
    <row r="7" ht="15.0" customHeight="1">
      <c r="A7" s="26" t="s">
        <v>176</v>
      </c>
      <c r="B7" s="10" t="str">
        <f>Assumptions!B6</f>
        <v>$122,500</v>
      </c>
    </row>
    <row r="8" ht="15.0" customHeight="1">
      <c r="A8" s="26" t="s">
        <v>177</v>
      </c>
      <c r="B8" s="10" t="str">
        <f>Assumptions!B7</f>
        <v>$60,000</v>
      </c>
    </row>
    <row r="9" ht="15.0" customHeight="1">
      <c r="A9" s="26" t="s">
        <v>178</v>
      </c>
      <c r="B9" s="10" t="str">
        <f>Assumptions!B8</f>
        <v>$62,500</v>
      </c>
    </row>
    <row r="10">
      <c r="A10" s="2"/>
      <c r="B10" s="2"/>
    </row>
    <row r="11" ht="15.0" customHeight="1">
      <c r="A11" s="4" t="s">
        <v>179</v>
      </c>
      <c r="B11" s="2"/>
    </row>
    <row r="12" ht="15.0" customHeight="1">
      <c r="A12" s="2" t="s">
        <v>180</v>
      </c>
      <c r="B12" s="5" t="str">
        <f>'Annual Summary'!F35</f>
        <v>$189,641</v>
      </c>
    </row>
    <row r="13" ht="15.0" customHeight="1">
      <c r="A13" s="2" t="s">
        <v>181</v>
      </c>
      <c r="B13" s="19">
        <v>6.0</v>
      </c>
    </row>
    <row r="14" ht="15.0" customHeight="1">
      <c r="A14" s="2" t="s">
        <v>182</v>
      </c>
      <c r="B14" s="5" t="str">
        <f>B12*B13</f>
        <v>$1,137,848</v>
      </c>
    </row>
    <row r="15" ht="15.0" customHeight="1">
      <c r="A15" s="2" t="s">
        <v>183</v>
      </c>
      <c r="B15" s="5" t="str">
        <f>B14*Assumptions!B5</f>
        <v>$557,546</v>
      </c>
    </row>
    <row r="16" ht="15.0" customHeight="1">
      <c r="A16" s="2" t="s">
        <v>184</v>
      </c>
      <c r="B16" s="12" t="str">
        <f>B15/Assumptions!B6</f>
        <v>4.6x</v>
      </c>
    </row>
    <row r="17">
      <c r="A17" s="2"/>
      <c r="B17" s="2"/>
    </row>
    <row r="18" ht="15.0" customHeight="1">
      <c r="A18" s="3" t="s">
        <v>185</v>
      </c>
      <c r="B18" s="2"/>
    </row>
    <row r="19">
      <c r="A19" s="2"/>
      <c r="B19" s="2"/>
    </row>
    <row r="20">
      <c r="A20" s="2"/>
      <c r="B20" s="2"/>
    </row>
    <row r="21" ht="15.75" customHeight="1">
      <c r="A21" s="2"/>
      <c r="B21" s="2"/>
    </row>
    <row r="22" ht="15.75" customHeight="1">
      <c r="A22" s="2"/>
      <c r="B22" s="2"/>
    </row>
    <row r="23" ht="15.75" customHeight="1">
      <c r="A23" s="2"/>
      <c r="B23" s="2"/>
    </row>
    <row r="24" ht="15.75" customHeight="1">
      <c r="A24" s="2"/>
      <c r="B24" s="2"/>
    </row>
    <row r="25" ht="15.75" customHeight="1">
      <c r="A25" s="2"/>
      <c r="B25" s="2"/>
    </row>
    <row r="26" ht="15.75" customHeight="1">
      <c r="A26" s="2"/>
      <c r="B26" s="2"/>
    </row>
    <row r="27" ht="15.75" customHeight="1">
      <c r="A27" s="2"/>
      <c r="B27" s="2"/>
    </row>
    <row r="28" ht="15.75" customHeight="1">
      <c r="A28" s="2"/>
      <c r="B28" s="2"/>
    </row>
    <row r="29" ht="15.75" customHeight="1">
      <c r="A29" s="2"/>
      <c r="B29" s="2"/>
    </row>
    <row r="30" ht="15.75" customHeight="1">
      <c r="A30" s="2"/>
      <c r="B30" s="2"/>
    </row>
    <row r="31" ht="15.75" customHeight="1">
      <c r="A31" s="2"/>
      <c r="B31" s="2"/>
    </row>
    <row r="32" ht="15.75" customHeight="1">
      <c r="A32" s="2"/>
      <c r="B32" s="2"/>
    </row>
    <row r="33" ht="15.75" customHeight="1">
      <c r="A33" s="2"/>
      <c r="B33" s="2"/>
    </row>
    <row r="34" ht="15.75" customHeight="1">
      <c r="A34" s="2"/>
      <c r="B34" s="2"/>
    </row>
    <row r="35" ht="15.75" customHeight="1">
      <c r="A35" s="2"/>
      <c r="B35" s="2"/>
    </row>
    <row r="36" ht="15.75" customHeight="1">
      <c r="A36" s="2"/>
      <c r="B36" s="2"/>
    </row>
    <row r="37" ht="15.75" customHeight="1">
      <c r="A37" s="2"/>
      <c r="B37" s="2"/>
    </row>
    <row r="38" ht="15.75" customHeight="1">
      <c r="A38" s="2"/>
      <c r="B38" s="2"/>
    </row>
    <row r="39" ht="15.75" customHeight="1">
      <c r="A39" s="2"/>
      <c r="B39" s="2"/>
    </row>
    <row r="40" ht="15.75" customHeight="1">
      <c r="A40" s="2"/>
      <c r="B40" s="2"/>
    </row>
    <row r="41" ht="15.75" customHeight="1">
      <c r="A41" s="2"/>
      <c r="B41" s="2"/>
    </row>
    <row r="42" ht="15.75" customHeight="1">
      <c r="A42" s="2"/>
      <c r="B42" s="2"/>
    </row>
    <row r="43" ht="15.75" customHeight="1">
      <c r="A43" s="2"/>
      <c r="B43" s="2"/>
    </row>
    <row r="44" ht="15.75" customHeight="1">
      <c r="A44" s="2"/>
      <c r="B44" s="2"/>
    </row>
    <row r="45" ht="15.75" customHeight="1">
      <c r="A45" s="2"/>
      <c r="B45" s="2"/>
    </row>
    <row r="46" ht="15.75" customHeight="1">
      <c r="A46" s="2"/>
      <c r="B46" s="2"/>
    </row>
    <row r="47" ht="15.75" customHeight="1">
      <c r="A47" s="2"/>
      <c r="B47" s="2"/>
    </row>
    <row r="48" ht="15.75" customHeight="1">
      <c r="A48" s="2"/>
      <c r="B48" s="2"/>
    </row>
    <row r="49" ht="15.75" customHeight="1">
      <c r="A49" s="2"/>
      <c r="B49" s="2"/>
    </row>
    <row r="50" ht="15.75" customHeight="1">
      <c r="A50" s="2"/>
      <c r="B50" s="2"/>
    </row>
    <row r="51" ht="15.75" customHeight="1">
      <c r="A51" s="2"/>
      <c r="B51" s="2"/>
    </row>
    <row r="52" ht="15.75" customHeight="1">
      <c r="A52" s="2"/>
      <c r="B52" s="2"/>
    </row>
    <row r="53" ht="15.75" customHeight="1">
      <c r="A53" s="2"/>
      <c r="B53" s="2"/>
    </row>
    <row r="54" ht="15.75" customHeight="1">
      <c r="A54" s="2"/>
      <c r="B54" s="2"/>
    </row>
    <row r="55" ht="15.75" customHeight="1">
      <c r="A55" s="2"/>
      <c r="B55" s="2"/>
    </row>
    <row r="56" ht="15.75" customHeight="1">
      <c r="A56" s="2"/>
      <c r="B56" s="2"/>
    </row>
    <row r="57" ht="15.75" customHeight="1">
      <c r="A57" s="2"/>
      <c r="B57" s="2"/>
    </row>
    <row r="58" ht="15.75" customHeight="1">
      <c r="A58" s="2"/>
      <c r="B58" s="2"/>
    </row>
    <row r="59" ht="15.75" customHeight="1">
      <c r="A59" s="2"/>
      <c r="B59" s="2"/>
    </row>
    <row r="60" ht="15.75" customHeight="1">
      <c r="A60" s="2"/>
      <c r="B60" s="2"/>
    </row>
    <row r="61" ht="15.75" customHeight="1">
      <c r="A61" s="2"/>
      <c r="B61" s="2"/>
    </row>
    <row r="62" ht="15.75" customHeight="1">
      <c r="A62" s="2"/>
      <c r="B62" s="2"/>
    </row>
    <row r="63" ht="15.75" customHeight="1">
      <c r="A63" s="2"/>
      <c r="B63" s="2"/>
    </row>
    <row r="64" ht="15.75" customHeight="1">
      <c r="A64" s="2"/>
      <c r="B64" s="2"/>
    </row>
    <row r="65" ht="15.75" customHeight="1">
      <c r="A65" s="2"/>
      <c r="B65" s="2"/>
    </row>
    <row r="66" ht="15.75" customHeight="1">
      <c r="A66" s="2"/>
      <c r="B66" s="2"/>
    </row>
    <row r="67" ht="15.75" customHeight="1">
      <c r="A67" s="2"/>
      <c r="B67" s="2"/>
    </row>
    <row r="68" ht="15.75" customHeight="1">
      <c r="A68" s="2"/>
      <c r="B68" s="2"/>
    </row>
    <row r="69" ht="15.75" customHeight="1">
      <c r="A69" s="2"/>
      <c r="B69" s="2"/>
    </row>
    <row r="70" ht="15.75" customHeight="1">
      <c r="A70" s="2"/>
      <c r="B70" s="2"/>
    </row>
    <row r="71" ht="15.75" customHeight="1">
      <c r="A71" s="2"/>
      <c r="B71" s="2"/>
    </row>
    <row r="72" ht="15.75" customHeight="1">
      <c r="A72" s="2"/>
      <c r="B72" s="2"/>
    </row>
    <row r="73" ht="15.75" customHeight="1">
      <c r="A73" s="2"/>
      <c r="B73" s="2"/>
    </row>
    <row r="74" ht="15.75" customHeight="1">
      <c r="A74" s="2"/>
      <c r="B74" s="2"/>
    </row>
    <row r="75" ht="15.75" customHeight="1">
      <c r="A75" s="2"/>
      <c r="B75" s="2"/>
    </row>
    <row r="76" ht="15.75" customHeight="1">
      <c r="A76" s="2"/>
      <c r="B76" s="2"/>
    </row>
    <row r="77" ht="15.75" customHeight="1">
      <c r="A77" s="2"/>
      <c r="B77" s="2"/>
    </row>
    <row r="78" ht="15.75" customHeight="1">
      <c r="A78" s="2"/>
      <c r="B78" s="2"/>
    </row>
    <row r="79" ht="15.75" customHeight="1">
      <c r="A79" s="2"/>
      <c r="B79" s="2"/>
    </row>
    <row r="80" ht="15.75" customHeight="1">
      <c r="A80" s="2"/>
      <c r="B80" s="2"/>
    </row>
    <row r="81" ht="15.75" customHeight="1">
      <c r="A81" s="2"/>
      <c r="B81" s="2"/>
    </row>
    <row r="82" ht="15.75" customHeight="1">
      <c r="A82" s="2"/>
      <c r="B82" s="2"/>
    </row>
    <row r="83" ht="15.75" customHeight="1">
      <c r="A83" s="2"/>
      <c r="B83" s="2"/>
    </row>
    <row r="84" ht="15.75" customHeight="1">
      <c r="A84" s="2"/>
      <c r="B84" s="2"/>
    </row>
    <row r="85" ht="15.75" customHeight="1">
      <c r="A85" s="2"/>
      <c r="B85" s="2"/>
    </row>
    <row r="86" ht="15.75" customHeight="1">
      <c r="A86" s="2"/>
      <c r="B86" s="2"/>
    </row>
    <row r="87" ht="15.75" customHeight="1">
      <c r="A87" s="2"/>
      <c r="B87" s="2"/>
    </row>
    <row r="88" ht="15.75" customHeight="1">
      <c r="A88" s="2"/>
      <c r="B88" s="2"/>
    </row>
    <row r="89" ht="15.75" customHeight="1">
      <c r="A89" s="2"/>
      <c r="B89" s="2"/>
    </row>
    <row r="90" ht="15.75" customHeight="1">
      <c r="A90" s="2"/>
      <c r="B90" s="2"/>
    </row>
    <row r="91" ht="15.75" customHeight="1">
      <c r="A91" s="2"/>
      <c r="B91" s="2"/>
    </row>
    <row r="92" ht="15.75" customHeight="1">
      <c r="A92" s="2"/>
      <c r="B92" s="2"/>
    </row>
    <row r="93" ht="15.75" customHeight="1">
      <c r="A93" s="2"/>
      <c r="B93" s="2"/>
    </row>
    <row r="94" ht="15.75" customHeight="1">
      <c r="A94" s="2"/>
      <c r="B94" s="2"/>
    </row>
    <row r="95" ht="15.75" customHeight="1">
      <c r="A95" s="2"/>
      <c r="B95" s="2"/>
    </row>
    <row r="96" ht="15.75" customHeight="1">
      <c r="A96" s="2"/>
      <c r="B96" s="2"/>
    </row>
    <row r="97" ht="15.75" customHeight="1">
      <c r="A97" s="2"/>
      <c r="B97" s="2"/>
    </row>
    <row r="98" ht="15.75" customHeight="1">
      <c r="A98" s="2"/>
      <c r="B98" s="2"/>
    </row>
    <row r="99" ht="15.75" customHeight="1">
      <c r="A99" s="2"/>
      <c r="B99" s="2"/>
    </row>
    <row r="100" ht="15.75" customHeight="1">
      <c r="A100" s="2"/>
      <c r="B100" s="2"/>
    </row>
  </sheetData>
  <printOptions/>
  <pageMargins bottom="1.0" footer="0.0" header="0.0" left="0.75" right="0.75" top="1.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0"/>
    <col customWidth="1" min="2" max="10" width="12.0"/>
    <col customWidth="1" min="11" max="11" width="8.71"/>
  </cols>
  <sheetData>
    <row r="1" ht="17.25" customHeight="1">
      <c r="A1" s="14" t="s">
        <v>186</v>
      </c>
      <c r="B1" s="2"/>
      <c r="C1" s="2"/>
      <c r="D1" s="2"/>
      <c r="E1" s="2"/>
      <c r="F1" s="2"/>
      <c r="G1" s="2"/>
      <c r="H1" s="2"/>
      <c r="I1" s="2"/>
      <c r="J1" s="2"/>
    </row>
    <row r="2" ht="15.0" customHeight="1">
      <c r="A2" s="3" t="s">
        <v>187</v>
      </c>
      <c r="B2" s="2"/>
      <c r="C2" s="2"/>
      <c r="D2" s="2"/>
      <c r="E2" s="2"/>
      <c r="F2" s="2"/>
      <c r="G2" s="2"/>
      <c r="H2" s="2"/>
      <c r="I2" s="2"/>
      <c r="J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</row>
    <row r="4" ht="15.0" customHeight="1">
      <c r="A4" s="2" t="s">
        <v>188</v>
      </c>
      <c r="B4" s="24">
        <v>1.0</v>
      </c>
      <c r="C4" s="2"/>
      <c r="D4" s="2"/>
      <c r="E4" s="2"/>
      <c r="F4" s="2"/>
      <c r="G4" s="2"/>
      <c r="H4" s="2"/>
      <c r="I4" s="2"/>
      <c r="J4" s="2"/>
    </row>
    <row r="5" ht="15.0" customHeight="1">
      <c r="A5" s="2" t="s">
        <v>189</v>
      </c>
      <c r="B5" s="31">
        <v>6.0</v>
      </c>
      <c r="C5" s="2"/>
      <c r="D5" s="2"/>
      <c r="E5" s="2"/>
      <c r="F5" s="2"/>
      <c r="G5" s="2"/>
      <c r="H5" s="2"/>
      <c r="I5" s="2"/>
      <c r="J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</row>
    <row r="7" ht="15.0" customHeight="1">
      <c r="A7" s="2" t="s">
        <v>190</v>
      </c>
      <c r="B7" s="25" t="s">
        <v>191</v>
      </c>
      <c r="C7" s="25" t="s">
        <v>192</v>
      </c>
      <c r="D7" s="25" t="s">
        <v>193</v>
      </c>
      <c r="E7" s="25" t="s">
        <v>194</v>
      </c>
      <c r="F7" s="25" t="s">
        <v>195</v>
      </c>
      <c r="G7" s="25" t="s">
        <v>196</v>
      </c>
      <c r="H7" s="25" t="s">
        <v>197</v>
      </c>
      <c r="I7" s="25" t="s">
        <v>198</v>
      </c>
      <c r="J7" s="25" t="s">
        <v>199</v>
      </c>
    </row>
    <row r="8" ht="15.0" customHeight="1">
      <c r="A8" s="2" t="s">
        <v>200</v>
      </c>
      <c r="B8" s="5" t="str">
        <f>'Year 1 Monthly P&amp;L'!N38-'Year 1 Monthly P&amp;L'!B38-'Year 1 Monthly P&amp;L'!C38-'Year 1 Monthly P&amp;L'!D38-'Year 1 Monthly P&amp;L'!E38-'Year 1 Monthly P&amp;L'!F38-'Year 1 Monthly P&amp;L'!G38</f>
        <v>$35,527</v>
      </c>
      <c r="C8" s="5" t="str">
        <f>'Annual Summary'!C35/2</f>
        <v>$3,793</v>
      </c>
      <c r="D8" s="5" t="str">
        <f>'Annual Summary'!C35/2</f>
        <v>$3,793</v>
      </c>
      <c r="E8" s="5" t="str">
        <f>'Annual Summary'!D35/2</f>
        <v>$32,201</v>
      </c>
      <c r="F8" s="5" t="str">
        <f>'Annual Summary'!D35/2</f>
        <v>$32,201</v>
      </c>
      <c r="G8" s="5" t="str">
        <f>'Annual Summary'!E35/2</f>
        <v>$61,377</v>
      </c>
      <c r="H8" s="5" t="str">
        <f>'Annual Summary'!E35/2</f>
        <v>$61,377</v>
      </c>
      <c r="I8" s="5" t="str">
        <f>'Annual Summary'!F35/2</f>
        <v>$94,821</v>
      </c>
      <c r="J8" s="5" t="str">
        <f>'Annual Summary'!F35/2</f>
        <v>$94,821</v>
      </c>
    </row>
    <row r="9" ht="15.0" customHeight="1">
      <c r="A9" s="2" t="s">
        <v>201</v>
      </c>
      <c r="B9" s="5" t="str">
        <f>MAX(B8,0)*B4</f>
        <v>$35,527</v>
      </c>
      <c r="C9" s="5" t="str">
        <f>MAX(C8,0)*B4</f>
        <v>$3,793</v>
      </c>
      <c r="D9" s="5" t="str">
        <f>MAX(D8,0)*B4</f>
        <v>$3,793</v>
      </c>
      <c r="E9" s="5" t="str">
        <f>MAX(E8,0)*B4</f>
        <v>$32,201</v>
      </c>
      <c r="F9" s="5" t="str">
        <f>MAX(F8,0)*B4</f>
        <v>$32,201</v>
      </c>
      <c r="G9" s="5" t="str">
        <f>MAX(G8,0)*B4</f>
        <v>$61,377</v>
      </c>
      <c r="H9" s="5" t="str">
        <f>MAX(H8,0)*B4</f>
        <v>$61,377</v>
      </c>
      <c r="I9" s="5" t="str">
        <f>MAX(I8,0)*B4</f>
        <v>$94,821</v>
      </c>
      <c r="J9" s="5" t="str">
        <f>MAX(J8,0)*B4</f>
        <v>$94,821</v>
      </c>
    </row>
    <row r="10" ht="15.0" customHeight="1">
      <c r="A10" s="2" t="s">
        <v>202</v>
      </c>
      <c r="B10" s="13" t="str">
        <f>B9*Assumptions!$B$5</f>
        <v>$17,408</v>
      </c>
      <c r="C10" s="13" t="str">
        <f>C9*Assumptions!$B$5</f>
        <v>$1,859</v>
      </c>
      <c r="D10" s="13" t="str">
        <f>D9*Assumptions!$B$5</f>
        <v>$1,859</v>
      </c>
      <c r="E10" s="13" t="str">
        <f>E9*Assumptions!$B$5</f>
        <v>$15,778</v>
      </c>
      <c r="F10" s="13" t="str">
        <f>F9*Assumptions!$B$5</f>
        <v>$15,778</v>
      </c>
      <c r="G10" s="13" t="str">
        <f>G9*Assumptions!$B$5</f>
        <v>$30,075</v>
      </c>
      <c r="H10" s="13" t="str">
        <f>H9*Assumptions!$B$5</f>
        <v>$30,075</v>
      </c>
      <c r="I10" s="13" t="str">
        <f>I9*Assumptions!$B$5</f>
        <v>$46,462</v>
      </c>
      <c r="J10" s="13" t="str">
        <f>J9*Assumptions!$B$5</f>
        <v>$46,462</v>
      </c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ht="15.0" customHeight="1">
      <c r="A12" s="2" t="s">
        <v>203</v>
      </c>
      <c r="B12" s="5" t="str">
        <f>B10</f>
        <v>$17,408</v>
      </c>
      <c r="C12" s="5" t="str">
        <f t="shared" ref="C12:J12" si="1">B12+C10</f>
        <v>$19,267</v>
      </c>
      <c r="D12" s="5" t="str">
        <f t="shared" si="1"/>
        <v>$21,126</v>
      </c>
      <c r="E12" s="5" t="str">
        <f t="shared" si="1"/>
        <v>$36,904</v>
      </c>
      <c r="F12" s="5" t="str">
        <f t="shared" si="1"/>
        <v>$52,682</v>
      </c>
      <c r="G12" s="5" t="str">
        <f t="shared" si="1"/>
        <v>$82,757</v>
      </c>
      <c r="H12" s="5" t="str">
        <f t="shared" si="1"/>
        <v>$112,832</v>
      </c>
      <c r="I12" s="5" t="str">
        <f t="shared" si="1"/>
        <v>$159,294</v>
      </c>
      <c r="J12" s="5" t="str">
        <f t="shared" si="1"/>
        <v>$205,757</v>
      </c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ht="15.0" customHeight="1">
      <c r="A14" s="4" t="s">
        <v>204</v>
      </c>
      <c r="B14" s="2"/>
      <c r="C14" s="2"/>
      <c r="D14" s="2"/>
      <c r="E14" s="2"/>
      <c r="F14" s="2"/>
      <c r="G14" s="2"/>
      <c r="H14" s="2"/>
      <c r="I14" s="2"/>
      <c r="J14" s="2"/>
    </row>
    <row r="15" ht="15.0" customHeight="1">
      <c r="A15" s="2" t="s">
        <v>205</v>
      </c>
      <c r="B15" s="5" t="str">
        <f>Assumptions!B6</f>
        <v>$122,500</v>
      </c>
      <c r="C15" s="2"/>
      <c r="D15" s="2"/>
      <c r="E15" s="2"/>
      <c r="F15" s="2"/>
      <c r="G15" s="2"/>
      <c r="H15" s="2"/>
      <c r="I15" s="2"/>
      <c r="J15" s="2"/>
    </row>
    <row r="16" ht="15.0" customHeight="1">
      <c r="A16" s="2" t="s">
        <v>206</v>
      </c>
      <c r="B16" s="5" t="str">
        <f>J12</f>
        <v>$205,757</v>
      </c>
      <c r="C16" s="2"/>
      <c r="D16" s="2"/>
      <c r="E16" s="2"/>
      <c r="F16" s="2"/>
      <c r="G16" s="2"/>
      <c r="H16" s="2"/>
      <c r="I16" s="2"/>
      <c r="J16" s="2"/>
    </row>
    <row r="17" ht="15.0" customHeight="1">
      <c r="A17" s="2" t="s">
        <v>180</v>
      </c>
      <c r="B17" s="5" t="str">
        <f>'Annual Summary'!F35</f>
        <v>$189,641</v>
      </c>
      <c r="C17" s="2"/>
      <c r="D17" s="2"/>
      <c r="E17" s="2"/>
      <c r="F17" s="2"/>
      <c r="G17" s="2"/>
      <c r="H17" s="2"/>
      <c r="I17" s="2"/>
      <c r="J17" s="2"/>
    </row>
    <row r="18" ht="15.0" customHeight="1">
      <c r="A18" s="2" t="s">
        <v>207</v>
      </c>
      <c r="B18" s="5" t="str">
        <f>B17*B5</f>
        <v>$1,137,848</v>
      </c>
      <c r="C18" s="2"/>
      <c r="D18" s="2"/>
      <c r="E18" s="2"/>
      <c r="F18" s="2"/>
      <c r="G18" s="2"/>
      <c r="H18" s="2"/>
      <c r="I18" s="2"/>
      <c r="J18" s="2"/>
    </row>
    <row r="19" ht="15.0" customHeight="1">
      <c r="A19" s="2" t="s">
        <v>208</v>
      </c>
      <c r="B19" s="5" t="str">
        <f>B18*Assumptions!B5</f>
        <v>$557,546</v>
      </c>
      <c r="C19" s="2"/>
      <c r="D19" s="2"/>
      <c r="E19" s="2"/>
      <c r="F19" s="2"/>
      <c r="G19" s="2"/>
      <c r="H19" s="2"/>
      <c r="I19" s="2"/>
      <c r="J19" s="2"/>
    </row>
    <row r="20" ht="15.0" customHeight="1">
      <c r="A20" s="9" t="s">
        <v>209</v>
      </c>
      <c r="B20" s="13" t="str">
        <f>B16+B19</f>
        <v>$763,302</v>
      </c>
      <c r="C20" s="2"/>
      <c r="D20" s="2"/>
      <c r="E20" s="2"/>
      <c r="F20" s="2"/>
      <c r="G20" s="2"/>
      <c r="H20" s="2"/>
      <c r="I20" s="2"/>
      <c r="J20" s="2"/>
    </row>
    <row r="21" ht="15.0" customHeight="1">
      <c r="A21" s="2" t="s">
        <v>29</v>
      </c>
      <c r="B21" s="12" t="str">
        <f>B20/B15</f>
        <v>6.2x</v>
      </c>
      <c r="C21" s="2"/>
      <c r="D21" s="2"/>
      <c r="E21" s="2"/>
      <c r="F21" s="2"/>
      <c r="G21" s="2"/>
      <c r="H21" s="2"/>
      <c r="I21" s="2"/>
      <c r="J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</row>
  </sheetData>
  <printOptions/>
  <pageMargins bottom="1.0" footer="0.0" header="0.0" left="0.75" right="0.75" top="1.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2026-08-20T13:05:32Z</dcterms:created>
  <dc:creator>openpyxl</dc:creator>
  <dc:description/>
  <dc:language>en-US</dc:language>
  <cp:lastModifiedBy/>
  <dcterms:modified xsi:type="dcterms:W3CDTF">2026-08-22T11:22:23Z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